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416"/>
  <workbookPr autoCompressPictures="0"/>
  <workbookProtection workbookPassword="8892" lockStructure="1"/>
  <bookViews>
    <workbookView xWindow="0" yWindow="0" windowWidth="55500" windowHeight="22380" tabRatio="888"/>
  </bookViews>
  <sheets>
    <sheet name="Budget Display" sheetId="1" r:id="rId1"/>
    <sheet name="Yearly Input Information" sheetId="2" state="hidden" r:id="rId2"/>
    <sheet name="Production Schedule" sheetId="3" state="hidden" r:id="rId3"/>
    <sheet name="Depreciation Schedule" sheetId="4" state="hidden" r:id="rId4"/>
    <sheet name="Chemical Mixing Rates" sheetId="14" state="hidden" r:id="rId5"/>
    <sheet name="Profit-Loss" sheetId="13" state="hidden" r:id="rId6"/>
    <sheet name="NPV per Acre" sheetId="16" state="hidden" r:id="rId7"/>
    <sheet name="NPV per Tree" sheetId="17" state="hidden" r:id="rId8"/>
    <sheet name="SAEA" sheetId="18" state="hidden" r:id="rId9"/>
    <sheet name="NPV Sizes" sheetId="15" state="hidden" r:id="rId10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3" i="1" l="1"/>
  <c r="I53" i="1"/>
  <c r="G88" i="2"/>
  <c r="K53" i="1"/>
  <c r="I88" i="2"/>
  <c r="M53" i="1"/>
  <c r="K88" i="2"/>
  <c r="O53" i="1"/>
  <c r="M88" i="2"/>
  <c r="Q53" i="1"/>
  <c r="O88" i="2"/>
  <c r="S53" i="1"/>
  <c r="Q88" i="2"/>
  <c r="U53" i="1"/>
  <c r="S88" i="2"/>
  <c r="W53" i="1"/>
  <c r="U88" i="2"/>
  <c r="Y53" i="1"/>
  <c r="G53" i="1"/>
  <c r="H88" i="2"/>
  <c r="L53" i="1"/>
  <c r="J88" i="2"/>
  <c r="N53" i="1"/>
  <c r="L88" i="2"/>
  <c r="P53" i="1"/>
  <c r="N88" i="2"/>
  <c r="R53" i="1"/>
  <c r="P88" i="2"/>
  <c r="T53" i="1"/>
  <c r="R88" i="2"/>
  <c r="V53" i="1"/>
  <c r="T88" i="2"/>
  <c r="X53" i="1"/>
  <c r="V88" i="2"/>
  <c r="Z53" i="1"/>
  <c r="F88" i="2"/>
  <c r="J53" i="1"/>
  <c r="H5" i="4"/>
  <c r="I5" i="4"/>
  <c r="H6" i="4"/>
  <c r="I6" i="4"/>
  <c r="H7" i="4"/>
  <c r="I7" i="4"/>
  <c r="H8" i="4"/>
  <c r="I8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4" i="4"/>
  <c r="I4" i="4"/>
  <c r="G104" i="1"/>
  <c r="F23" i="4"/>
  <c r="J23" i="4"/>
  <c r="M16" i="14"/>
  <c r="C70" i="2"/>
  <c r="A39" i="1"/>
  <c r="F39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H102" i="1"/>
  <c r="E13" i="1"/>
  <c r="I102" i="1"/>
  <c r="I104" i="1"/>
  <c r="H104" i="1"/>
  <c r="Z100" i="1"/>
  <c r="J102" i="1"/>
  <c r="J104" i="1"/>
  <c r="K165" i="1"/>
  <c r="K101" i="1"/>
  <c r="L165" i="1"/>
  <c r="L101" i="1"/>
  <c r="M165" i="1"/>
  <c r="M101" i="1"/>
  <c r="N165" i="1"/>
  <c r="N101" i="1"/>
  <c r="O165" i="1"/>
  <c r="O101" i="1"/>
  <c r="P165" i="1"/>
  <c r="P101" i="1"/>
  <c r="Q165" i="1"/>
  <c r="Q101" i="1"/>
  <c r="R165" i="1"/>
  <c r="R101" i="1"/>
  <c r="S165" i="1"/>
  <c r="S101" i="1"/>
  <c r="T165" i="1"/>
  <c r="T101" i="1"/>
  <c r="U165" i="1"/>
  <c r="U101" i="1"/>
  <c r="V165" i="1"/>
  <c r="V101" i="1"/>
  <c r="W165" i="1"/>
  <c r="W101" i="1"/>
  <c r="X165" i="1"/>
  <c r="X101" i="1"/>
  <c r="Y165" i="1"/>
  <c r="Y101" i="1"/>
  <c r="Z165" i="1"/>
  <c r="J165" i="1"/>
  <c r="J101" i="1"/>
  <c r="I165" i="1"/>
  <c r="I101" i="1"/>
  <c r="H165" i="1"/>
  <c r="H101" i="1"/>
  <c r="G165" i="1"/>
  <c r="G105" i="1"/>
  <c r="G21" i="14"/>
  <c r="A31" i="1"/>
  <c r="E31" i="1"/>
  <c r="G31" i="1"/>
  <c r="H105" i="1"/>
  <c r="Z101" i="1"/>
  <c r="J105" i="1"/>
  <c r="I105" i="1"/>
  <c r="G101" i="1"/>
  <c r="G103" i="1"/>
  <c r="H103" i="1"/>
  <c r="I103" i="1"/>
  <c r="K102" i="1"/>
  <c r="K104" i="1"/>
  <c r="K105" i="1"/>
  <c r="J103" i="1"/>
  <c r="B90" i="2"/>
  <c r="K55" i="1"/>
  <c r="P55" i="1"/>
  <c r="U55" i="1"/>
  <c r="Z55" i="1"/>
  <c r="B89" i="2"/>
  <c r="K54" i="1"/>
  <c r="P54" i="1"/>
  <c r="U54" i="1"/>
  <c r="Z54" i="1"/>
  <c r="G24" i="4"/>
  <c r="G23" i="4"/>
  <c r="K23" i="4"/>
  <c r="K24" i="4"/>
  <c r="E21" i="1"/>
  <c r="G21" i="1"/>
  <c r="D21" i="1"/>
  <c r="M5" i="1"/>
  <c r="A57" i="2"/>
  <c r="A21" i="1"/>
  <c r="E76" i="1"/>
  <c r="A76" i="1"/>
  <c r="E67" i="1"/>
  <c r="A51" i="1"/>
  <c r="E51" i="1"/>
  <c r="E73" i="1"/>
  <c r="H73" i="1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D99" i="2"/>
  <c r="D98" i="2"/>
  <c r="D97" i="2"/>
  <c r="D96" i="2"/>
  <c r="D95" i="2"/>
  <c r="E85" i="2"/>
  <c r="I50" i="1"/>
  <c r="F85" i="2"/>
  <c r="G85" i="2"/>
  <c r="K50" i="1"/>
  <c r="H85" i="2"/>
  <c r="I85" i="2"/>
  <c r="M50" i="1"/>
  <c r="J85" i="2"/>
  <c r="K85" i="2"/>
  <c r="O50" i="1"/>
  <c r="L85" i="2"/>
  <c r="P50" i="1"/>
  <c r="M85" i="2"/>
  <c r="Q50" i="1"/>
  <c r="N85" i="2"/>
  <c r="O85" i="2"/>
  <c r="S50" i="1"/>
  <c r="P85" i="2"/>
  <c r="Q85" i="2"/>
  <c r="U50" i="1"/>
  <c r="R85" i="2"/>
  <c r="S85" i="2"/>
  <c r="W50" i="1"/>
  <c r="T85" i="2"/>
  <c r="X50" i="1"/>
  <c r="U85" i="2"/>
  <c r="Y50" i="1"/>
  <c r="V85" i="2"/>
  <c r="D85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H67" i="1"/>
  <c r="I67" i="1"/>
  <c r="J67" i="1"/>
  <c r="M67" i="1"/>
  <c r="N67" i="1"/>
  <c r="O67" i="1"/>
  <c r="R67" i="1"/>
  <c r="S67" i="1"/>
  <c r="T67" i="1"/>
  <c r="W67" i="1"/>
  <c r="X67" i="1"/>
  <c r="Y67" i="1"/>
  <c r="Z67" i="1"/>
  <c r="A67" i="1"/>
  <c r="F27" i="4"/>
  <c r="J28" i="4"/>
  <c r="L28" i="4"/>
  <c r="J20" i="2"/>
  <c r="E62" i="1"/>
  <c r="E63" i="1"/>
  <c r="E64" i="1"/>
  <c r="E65" i="1"/>
  <c r="E66" i="1"/>
  <c r="A19" i="1"/>
  <c r="A20" i="1"/>
  <c r="A18" i="1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G17" i="14"/>
  <c r="E72" i="2"/>
  <c r="F72" i="2"/>
  <c r="I72" i="2"/>
  <c r="J72" i="2"/>
  <c r="M72" i="2"/>
  <c r="N72" i="2"/>
  <c r="Q72" i="2"/>
  <c r="R72" i="2"/>
  <c r="U72" i="2"/>
  <c r="V72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C76" i="2"/>
  <c r="C75" i="2"/>
  <c r="C74" i="2"/>
  <c r="C73" i="2"/>
  <c r="C71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C80" i="2"/>
  <c r="C79" i="2"/>
  <c r="C78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G86" i="2"/>
  <c r="D86" i="2"/>
  <c r="E86" i="2"/>
  <c r="F86" i="2"/>
  <c r="C86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C104" i="2"/>
  <c r="C102" i="2"/>
  <c r="C103" i="2"/>
  <c r="A81" i="2"/>
  <c r="B81" i="2"/>
  <c r="C81" i="2"/>
  <c r="E72" i="1"/>
  <c r="I72" i="1"/>
  <c r="A65" i="1"/>
  <c r="A66" i="1"/>
  <c r="E74" i="1"/>
  <c r="D105" i="2"/>
  <c r="A104" i="2"/>
  <c r="A73" i="1"/>
  <c r="A102" i="2"/>
  <c r="A71" i="1"/>
  <c r="I71" i="1"/>
  <c r="A72" i="1"/>
  <c r="A74" i="1"/>
  <c r="G50" i="1"/>
  <c r="H50" i="1"/>
  <c r="J50" i="1"/>
  <c r="L50" i="1"/>
  <c r="N50" i="1"/>
  <c r="R50" i="1"/>
  <c r="T50" i="1"/>
  <c r="V50" i="1"/>
  <c r="Z50" i="1"/>
  <c r="A64" i="1"/>
  <c r="G20" i="1"/>
  <c r="G19" i="1"/>
  <c r="G12" i="14"/>
  <c r="F13" i="14"/>
  <c r="A40" i="2"/>
  <c r="F14" i="14"/>
  <c r="L17" i="14"/>
  <c r="CU9" i="2"/>
  <c r="B41" i="2"/>
  <c r="CU8" i="2"/>
  <c r="B40" i="2"/>
  <c r="A54" i="1"/>
  <c r="A55" i="1"/>
  <c r="A53" i="1"/>
  <c r="E49" i="1"/>
  <c r="X49" i="1"/>
  <c r="A49" i="1"/>
  <c r="A50" i="1"/>
  <c r="A48" i="1"/>
  <c r="J14" i="4"/>
  <c r="M14" i="4"/>
  <c r="B80" i="2"/>
  <c r="B79" i="2"/>
  <c r="B78" i="2"/>
  <c r="A78" i="2"/>
  <c r="A79" i="2"/>
  <c r="A80" i="2"/>
  <c r="A63" i="1"/>
  <c r="A62" i="1"/>
  <c r="A60" i="1"/>
  <c r="CW4" i="2"/>
  <c r="DE4" i="2"/>
  <c r="CW5" i="2"/>
  <c r="DE5" i="2"/>
  <c r="CW6" i="2"/>
  <c r="CW7" i="2"/>
  <c r="CW8" i="2"/>
  <c r="CW9" i="2"/>
  <c r="CW10" i="2"/>
  <c r="CW11" i="2"/>
  <c r="CW12" i="2"/>
  <c r="CW13" i="2"/>
  <c r="CW14" i="2"/>
  <c r="CW15" i="2"/>
  <c r="CW16" i="2"/>
  <c r="CW3" i="2"/>
  <c r="B71" i="2"/>
  <c r="B72" i="2"/>
  <c r="B73" i="2"/>
  <c r="B74" i="2"/>
  <c r="B75" i="2"/>
  <c r="B76" i="2"/>
  <c r="B70" i="2"/>
  <c r="A60" i="2"/>
  <c r="A61" i="2"/>
  <c r="A59" i="2"/>
  <c r="J16" i="4"/>
  <c r="L16" i="4"/>
  <c r="J17" i="4"/>
  <c r="L17" i="4"/>
  <c r="J29" i="4"/>
  <c r="L29" i="4"/>
  <c r="J18" i="4"/>
  <c r="L18" i="4"/>
  <c r="J7" i="4"/>
  <c r="L7" i="4"/>
  <c r="J4" i="4"/>
  <c r="L4" i="4"/>
  <c r="J5" i="4"/>
  <c r="L5" i="4"/>
  <c r="J6" i="4"/>
  <c r="M6" i="4"/>
  <c r="J8" i="4"/>
  <c r="L8" i="4"/>
  <c r="J9" i="4"/>
  <c r="M9" i="4"/>
  <c r="J10" i="4"/>
  <c r="K10" i="4"/>
  <c r="J11" i="4"/>
  <c r="K11" i="4"/>
  <c r="J12" i="4"/>
  <c r="K12" i="4"/>
  <c r="J13" i="4"/>
  <c r="L13" i="4"/>
  <c r="J15" i="4"/>
  <c r="M15" i="4"/>
  <c r="C43" i="2"/>
  <c r="F45" i="1"/>
  <c r="F46" i="1"/>
  <c r="C48" i="2"/>
  <c r="C47" i="2"/>
  <c r="D47" i="2"/>
  <c r="E47" i="2"/>
  <c r="F47" i="2"/>
  <c r="C46" i="2"/>
  <c r="C45" i="2"/>
  <c r="D45" i="2"/>
  <c r="C44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C39" i="2"/>
  <c r="C38" i="2"/>
  <c r="D38" i="2"/>
  <c r="C37" i="2"/>
  <c r="E18" i="1"/>
  <c r="E27" i="1"/>
  <c r="E28" i="1"/>
  <c r="E30" i="1"/>
  <c r="E48" i="1"/>
  <c r="H48" i="1"/>
  <c r="E60" i="1"/>
  <c r="J60" i="1"/>
  <c r="DD13" i="2"/>
  <c r="C36" i="2"/>
  <c r="B37" i="2"/>
  <c r="B38" i="2"/>
  <c r="B39" i="2"/>
  <c r="A45" i="1"/>
  <c r="A46" i="1"/>
  <c r="A37" i="2"/>
  <c r="A38" i="2"/>
  <c r="A20" i="2"/>
  <c r="A21" i="2"/>
  <c r="F25" i="1"/>
  <c r="F23" i="1"/>
  <c r="F44" i="1"/>
  <c r="F37" i="1"/>
  <c r="F38" i="1"/>
  <c r="F40" i="1"/>
  <c r="F41" i="1"/>
  <c r="F42" i="1"/>
  <c r="F36" i="1"/>
  <c r="A42" i="1"/>
  <c r="A41" i="1"/>
  <c r="A40" i="1"/>
  <c r="A36" i="1"/>
  <c r="A25" i="1"/>
  <c r="H25" i="1"/>
  <c r="A23" i="1"/>
  <c r="B42" i="2"/>
  <c r="B43" i="2"/>
  <c r="B44" i="2"/>
  <c r="B45" i="2"/>
  <c r="B46" i="2"/>
  <c r="B47" i="2"/>
  <c r="B48" i="2"/>
  <c r="B36" i="2"/>
  <c r="A39" i="2"/>
  <c r="A41" i="2"/>
  <c r="A42" i="2"/>
  <c r="A43" i="2"/>
  <c r="A44" i="2"/>
  <c r="A45" i="2"/>
  <c r="A46" i="2"/>
  <c r="A47" i="2"/>
  <c r="A48" i="2"/>
  <c r="A36" i="2"/>
  <c r="A24" i="2"/>
  <c r="A25" i="2"/>
  <c r="A26" i="2"/>
  <c r="A27" i="2"/>
  <c r="A28" i="2"/>
  <c r="A29" i="2"/>
  <c r="A30" i="2"/>
  <c r="DD14" i="2"/>
  <c r="DD6" i="2"/>
  <c r="DD7" i="2"/>
  <c r="DD8" i="2"/>
  <c r="DD9" i="2"/>
  <c r="DD10" i="2"/>
  <c r="DD11" i="2"/>
  <c r="DD12" i="2"/>
  <c r="DD15" i="2"/>
  <c r="DD16" i="2"/>
  <c r="DD3" i="2"/>
  <c r="A44" i="1"/>
  <c r="A38" i="1"/>
  <c r="A37" i="1"/>
  <c r="A19" i="2"/>
  <c r="A22" i="2"/>
  <c r="Y51" i="1"/>
  <c r="U51" i="1"/>
  <c r="Q51" i="1"/>
  <c r="M51" i="1"/>
  <c r="F31" i="4"/>
  <c r="F24" i="4"/>
  <c r="J24" i="4"/>
  <c r="K75" i="1"/>
  <c r="A24" i="1"/>
  <c r="H24" i="1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DE11" i="2"/>
  <c r="G37" i="1"/>
  <c r="K51" i="1"/>
  <c r="W51" i="1"/>
  <c r="S51" i="1"/>
  <c r="O51" i="1"/>
  <c r="T72" i="2"/>
  <c r="P72" i="2"/>
  <c r="L72" i="2"/>
  <c r="H72" i="2"/>
  <c r="D72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A23" i="2"/>
  <c r="C72" i="2"/>
  <c r="S72" i="2"/>
  <c r="O72" i="2"/>
  <c r="K72" i="2"/>
  <c r="G72" i="2"/>
  <c r="J27" i="4"/>
  <c r="P27" i="4"/>
  <c r="E45" i="2"/>
  <c r="F45" i="2"/>
  <c r="G45" i="2"/>
  <c r="T73" i="1"/>
  <c r="L102" i="1"/>
  <c r="L104" i="1"/>
  <c r="L105" i="1"/>
  <c r="K103" i="1"/>
  <c r="X73" i="1"/>
  <c r="O73" i="1"/>
  <c r="G45" i="1"/>
  <c r="J51" i="1"/>
  <c r="Z51" i="1"/>
  <c r="X51" i="1"/>
  <c r="V51" i="1"/>
  <c r="T51" i="1"/>
  <c r="R51" i="1"/>
  <c r="P51" i="1"/>
  <c r="N51" i="1"/>
  <c r="L51" i="1"/>
  <c r="G51" i="1"/>
  <c r="H51" i="1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Z73" i="1"/>
  <c r="V73" i="1"/>
  <c r="R73" i="1"/>
  <c r="K73" i="1"/>
  <c r="G73" i="1"/>
  <c r="Y73" i="1"/>
  <c r="W73" i="1"/>
  <c r="U73" i="1"/>
  <c r="S73" i="1"/>
  <c r="Q73" i="1"/>
  <c r="M73" i="1"/>
  <c r="I73" i="1"/>
  <c r="I51" i="1"/>
  <c r="P73" i="1"/>
  <c r="N73" i="1"/>
  <c r="L73" i="1"/>
  <c r="J73" i="1"/>
  <c r="S7" i="4"/>
  <c r="O7" i="4"/>
  <c r="D50" i="2"/>
  <c r="E50" i="2"/>
  <c r="F50" i="2"/>
  <c r="G50" i="2"/>
  <c r="T75" i="1"/>
  <c r="F24" i="1"/>
  <c r="D37" i="2"/>
  <c r="D39" i="2"/>
  <c r="E39" i="2"/>
  <c r="D44" i="2"/>
  <c r="D46" i="2"/>
  <c r="D48" i="2"/>
  <c r="D35" i="2"/>
  <c r="E35" i="2"/>
  <c r="F35" i="2"/>
  <c r="G35" i="2"/>
  <c r="H35" i="2"/>
  <c r="I35" i="2"/>
  <c r="J35" i="2"/>
  <c r="K35" i="2"/>
  <c r="D40" i="2"/>
  <c r="E40" i="2"/>
  <c r="F40" i="2"/>
  <c r="E25" i="1"/>
  <c r="S29" i="4"/>
  <c r="Q29" i="4"/>
  <c r="O29" i="4"/>
  <c r="M29" i="4"/>
  <c r="T29" i="4"/>
  <c r="R29" i="4"/>
  <c r="P29" i="4"/>
  <c r="N29" i="4"/>
  <c r="S28" i="4"/>
  <c r="Q28" i="4"/>
  <c r="O28" i="4"/>
  <c r="M28" i="4"/>
  <c r="K28" i="4"/>
  <c r="T28" i="4"/>
  <c r="R28" i="4"/>
  <c r="P28" i="4"/>
  <c r="N28" i="4"/>
  <c r="T14" i="4"/>
  <c r="L14" i="4"/>
  <c r="P14" i="4"/>
  <c r="Y66" i="1"/>
  <c r="W66" i="1"/>
  <c r="U66" i="1"/>
  <c r="S66" i="1"/>
  <c r="Q66" i="1"/>
  <c r="O66" i="1"/>
  <c r="M66" i="1"/>
  <c r="K66" i="1"/>
  <c r="Z65" i="1"/>
  <c r="X65" i="1"/>
  <c r="V65" i="1"/>
  <c r="T65" i="1"/>
  <c r="R65" i="1"/>
  <c r="P65" i="1"/>
  <c r="N65" i="1"/>
  <c r="L65" i="1"/>
  <c r="Y64" i="1"/>
  <c r="W64" i="1"/>
  <c r="U64" i="1"/>
  <c r="S64" i="1"/>
  <c r="Q64" i="1"/>
  <c r="O64" i="1"/>
  <c r="M64" i="1"/>
  <c r="K64" i="1"/>
  <c r="Z63" i="1"/>
  <c r="X63" i="1"/>
  <c r="V63" i="1"/>
  <c r="T63" i="1"/>
  <c r="R63" i="1"/>
  <c r="P63" i="1"/>
  <c r="N63" i="1"/>
  <c r="L63" i="1"/>
  <c r="Y62" i="1"/>
  <c r="W62" i="1"/>
  <c r="U62" i="1"/>
  <c r="S62" i="1"/>
  <c r="Q62" i="1"/>
  <c r="O62" i="1"/>
  <c r="M62" i="1"/>
  <c r="K62" i="1"/>
  <c r="Z66" i="1"/>
  <c r="X66" i="1"/>
  <c r="V66" i="1"/>
  <c r="T66" i="1"/>
  <c r="R66" i="1"/>
  <c r="P66" i="1"/>
  <c r="N66" i="1"/>
  <c r="L66" i="1"/>
  <c r="Y65" i="1"/>
  <c r="W65" i="1"/>
  <c r="U65" i="1"/>
  <c r="S65" i="1"/>
  <c r="Q65" i="1"/>
  <c r="O65" i="1"/>
  <c r="M65" i="1"/>
  <c r="K65" i="1"/>
  <c r="Z64" i="1"/>
  <c r="X64" i="1"/>
  <c r="V64" i="1"/>
  <c r="T64" i="1"/>
  <c r="R64" i="1"/>
  <c r="P64" i="1"/>
  <c r="N64" i="1"/>
  <c r="L64" i="1"/>
  <c r="Y63" i="1"/>
  <c r="W63" i="1"/>
  <c r="U63" i="1"/>
  <c r="S63" i="1"/>
  <c r="Q63" i="1"/>
  <c r="O63" i="1"/>
  <c r="M63" i="1"/>
  <c r="K63" i="1"/>
  <c r="Z62" i="1"/>
  <c r="X62" i="1"/>
  <c r="V62" i="1"/>
  <c r="T62" i="1"/>
  <c r="R62" i="1"/>
  <c r="P62" i="1"/>
  <c r="N62" i="1"/>
  <c r="L62" i="1"/>
  <c r="K7" i="4"/>
  <c r="Q7" i="4"/>
  <c r="M7" i="4"/>
  <c r="R14" i="4"/>
  <c r="N14" i="4"/>
  <c r="K13" i="4"/>
  <c r="Q13" i="4"/>
  <c r="M13" i="4"/>
  <c r="O16" i="4"/>
  <c r="K29" i="4"/>
  <c r="K17" i="4"/>
  <c r="K14" i="4"/>
  <c r="S14" i="4"/>
  <c r="Q14" i="4"/>
  <c r="O14" i="4"/>
  <c r="S13" i="4"/>
  <c r="O13" i="4"/>
  <c r="S16" i="4"/>
  <c r="K18" i="4"/>
  <c r="K16" i="4"/>
  <c r="K15" i="4"/>
  <c r="B105" i="2"/>
  <c r="U105" i="2"/>
  <c r="S105" i="2"/>
  <c r="Q105" i="2"/>
  <c r="O105" i="2"/>
  <c r="M105" i="2"/>
  <c r="K105" i="2"/>
  <c r="I105" i="2"/>
  <c r="G105" i="2"/>
  <c r="E105" i="2"/>
  <c r="C105" i="2"/>
  <c r="V105" i="2"/>
  <c r="T105" i="2"/>
  <c r="R105" i="2"/>
  <c r="P105" i="2"/>
  <c r="N105" i="2"/>
  <c r="L105" i="2"/>
  <c r="J105" i="2"/>
  <c r="H105" i="2"/>
  <c r="F105" i="2"/>
  <c r="T11" i="4"/>
  <c r="P11" i="4"/>
  <c r="L11" i="4"/>
  <c r="R11" i="4"/>
  <c r="N11" i="4"/>
  <c r="Z72" i="1"/>
  <c r="X72" i="1"/>
  <c r="V72" i="1"/>
  <c r="T72" i="1"/>
  <c r="R72" i="1"/>
  <c r="P72" i="1"/>
  <c r="N72" i="1"/>
  <c r="L72" i="1"/>
  <c r="J72" i="1"/>
  <c r="H72" i="1"/>
  <c r="G72" i="1"/>
  <c r="Y72" i="1"/>
  <c r="W72" i="1"/>
  <c r="U72" i="1"/>
  <c r="S72" i="1"/>
  <c r="Q72" i="1"/>
  <c r="O72" i="1"/>
  <c r="M72" i="1"/>
  <c r="K72" i="1"/>
  <c r="E71" i="1"/>
  <c r="O24" i="1"/>
  <c r="G25" i="1"/>
  <c r="Y25" i="1"/>
  <c r="W25" i="1"/>
  <c r="U25" i="1"/>
  <c r="S25" i="1"/>
  <c r="Q25" i="1"/>
  <c r="O25" i="1"/>
  <c r="M25" i="1"/>
  <c r="K25" i="1"/>
  <c r="I25" i="1"/>
  <c r="Z24" i="1"/>
  <c r="J24" i="1"/>
  <c r="Z25" i="1"/>
  <c r="X25" i="1"/>
  <c r="V25" i="1"/>
  <c r="T25" i="1"/>
  <c r="R25" i="1"/>
  <c r="P25" i="1"/>
  <c r="N25" i="1"/>
  <c r="L25" i="1"/>
  <c r="J25" i="1"/>
  <c r="G48" i="1"/>
  <c r="I48" i="1"/>
  <c r="G30" i="1"/>
  <c r="J48" i="1"/>
  <c r="Z71" i="1"/>
  <c r="X71" i="1"/>
  <c r="V71" i="1"/>
  <c r="T71" i="1"/>
  <c r="R71" i="1"/>
  <c r="P71" i="1"/>
  <c r="N71" i="1"/>
  <c r="L71" i="1"/>
  <c r="J71" i="1"/>
  <c r="H71" i="1"/>
  <c r="G71" i="1"/>
  <c r="Y71" i="1"/>
  <c r="W71" i="1"/>
  <c r="U71" i="1"/>
  <c r="S71" i="1"/>
  <c r="Q71" i="1"/>
  <c r="O71" i="1"/>
  <c r="M71" i="1"/>
  <c r="K71" i="1"/>
  <c r="S17" i="4"/>
  <c r="Q17" i="4"/>
  <c r="O17" i="4"/>
  <c r="M17" i="4"/>
  <c r="S18" i="4"/>
  <c r="Q18" i="4"/>
  <c r="O18" i="4"/>
  <c r="M18" i="4"/>
  <c r="S12" i="4"/>
  <c r="Q12" i="4"/>
  <c r="O12" i="4"/>
  <c r="M12" i="4"/>
  <c r="T13" i="4"/>
  <c r="R13" i="4"/>
  <c r="P13" i="4"/>
  <c r="N13" i="4"/>
  <c r="T17" i="4"/>
  <c r="R17" i="4"/>
  <c r="P17" i="4"/>
  <c r="N17" i="4"/>
  <c r="T18" i="4"/>
  <c r="R18" i="4"/>
  <c r="P18" i="4"/>
  <c r="N18" i="4"/>
  <c r="S11" i="4"/>
  <c r="Q11" i="4"/>
  <c r="O11" i="4"/>
  <c r="M11" i="4"/>
  <c r="T12" i="4"/>
  <c r="R12" i="4"/>
  <c r="P12" i="4"/>
  <c r="N12" i="4"/>
  <c r="L12" i="4"/>
  <c r="Q16" i="4"/>
  <c r="M16" i="4"/>
  <c r="G18" i="1"/>
  <c r="T15" i="4"/>
  <c r="R15" i="4"/>
  <c r="P15" i="4"/>
  <c r="N15" i="4"/>
  <c r="L15" i="4"/>
  <c r="S15" i="4"/>
  <c r="Q15" i="4"/>
  <c r="O15" i="4"/>
  <c r="S75" i="1"/>
  <c r="T16" i="4"/>
  <c r="R16" i="4"/>
  <c r="P16" i="4"/>
  <c r="N16" i="4"/>
  <c r="K6" i="4"/>
  <c r="R6" i="4"/>
  <c r="N6" i="4"/>
  <c r="T7" i="4"/>
  <c r="R7" i="4"/>
  <c r="P7" i="4"/>
  <c r="N7" i="4"/>
  <c r="T10" i="4"/>
  <c r="R10" i="4"/>
  <c r="P10" i="4"/>
  <c r="N10" i="4"/>
  <c r="L10" i="4"/>
  <c r="T6" i="4"/>
  <c r="P6" i="4"/>
  <c r="S10" i="4"/>
  <c r="Q10" i="4"/>
  <c r="O10" i="4"/>
  <c r="M10" i="4"/>
  <c r="Q8" i="4"/>
  <c r="M8" i="4"/>
  <c r="K4" i="4"/>
  <c r="S4" i="4"/>
  <c r="Q4" i="4"/>
  <c r="O4" i="4"/>
  <c r="M4" i="4"/>
  <c r="K5" i="4"/>
  <c r="S5" i="4"/>
  <c r="Q5" i="4"/>
  <c r="O5" i="4"/>
  <c r="M5" i="4"/>
  <c r="L6" i="4"/>
  <c r="S6" i="4"/>
  <c r="Q6" i="4"/>
  <c r="O6" i="4"/>
  <c r="S8" i="4"/>
  <c r="O8" i="4"/>
  <c r="T4" i="4"/>
  <c r="R4" i="4"/>
  <c r="P4" i="4"/>
  <c r="N4" i="4"/>
  <c r="T5" i="4"/>
  <c r="R5" i="4"/>
  <c r="P5" i="4"/>
  <c r="N5" i="4"/>
  <c r="K8" i="4"/>
  <c r="T8" i="4"/>
  <c r="R8" i="4"/>
  <c r="P8" i="4"/>
  <c r="N8" i="4"/>
  <c r="T9" i="4"/>
  <c r="R9" i="4"/>
  <c r="P9" i="4"/>
  <c r="N9" i="4"/>
  <c r="L9" i="4"/>
  <c r="K9" i="4"/>
  <c r="S9" i="4"/>
  <c r="Q9" i="4"/>
  <c r="O9" i="4"/>
  <c r="E38" i="2"/>
  <c r="DE16" i="2"/>
  <c r="G42" i="1"/>
  <c r="DE12" i="2"/>
  <c r="G38" i="1"/>
  <c r="DE10" i="2"/>
  <c r="DE8" i="2"/>
  <c r="DE6" i="2"/>
  <c r="DE13" i="2"/>
  <c r="E36" i="1"/>
  <c r="G47" i="2"/>
  <c r="DE3" i="2"/>
  <c r="DE15" i="2"/>
  <c r="G41" i="1"/>
  <c r="DE9" i="2"/>
  <c r="DE7" i="2"/>
  <c r="G23" i="1"/>
  <c r="DE14" i="2"/>
  <c r="G40" i="1"/>
  <c r="H13" i="1"/>
  <c r="I13" i="1"/>
  <c r="J13" i="1"/>
  <c r="J14" i="1"/>
  <c r="G13" i="1"/>
  <c r="G81" i="1"/>
  <c r="N24" i="1"/>
  <c r="S24" i="1"/>
  <c r="R24" i="1"/>
  <c r="W24" i="1"/>
  <c r="E24" i="1"/>
  <c r="V24" i="1"/>
  <c r="K24" i="1"/>
  <c r="G24" i="1"/>
  <c r="Q27" i="4"/>
  <c r="N27" i="4"/>
  <c r="L31" i="4"/>
  <c r="K76" i="1"/>
  <c r="T27" i="4"/>
  <c r="R31" i="4"/>
  <c r="Q76" i="1"/>
  <c r="G75" i="1"/>
  <c r="M27" i="4"/>
  <c r="K31" i="4"/>
  <c r="J76" i="1"/>
  <c r="G31" i="4"/>
  <c r="H76" i="1"/>
  <c r="T31" i="4"/>
  <c r="S76" i="1"/>
  <c r="U31" i="4"/>
  <c r="T76" i="1"/>
  <c r="O31" i="4"/>
  <c r="N76" i="1"/>
  <c r="N31" i="4"/>
  <c r="M76" i="1"/>
  <c r="V31" i="4"/>
  <c r="L24" i="1"/>
  <c r="T24" i="1"/>
  <c r="M24" i="1"/>
  <c r="U24" i="1"/>
  <c r="K27" i="4"/>
  <c r="S27" i="4"/>
  <c r="Q31" i="4"/>
  <c r="P76" i="1"/>
  <c r="E44" i="1"/>
  <c r="S31" i="4"/>
  <c r="R76" i="1"/>
  <c r="P24" i="1"/>
  <c r="X24" i="1"/>
  <c r="I24" i="1"/>
  <c r="Q24" i="1"/>
  <c r="Y24" i="1"/>
  <c r="R27" i="4"/>
  <c r="P31" i="4"/>
  <c r="O76" i="1"/>
  <c r="O27" i="4"/>
  <c r="M31" i="4"/>
  <c r="L76" i="1"/>
  <c r="L27" i="4"/>
  <c r="H50" i="2"/>
  <c r="I50" i="2"/>
  <c r="J50" i="2"/>
  <c r="K50" i="2"/>
  <c r="L50" i="2"/>
  <c r="K67" i="1"/>
  <c r="O75" i="1"/>
  <c r="H45" i="2"/>
  <c r="K39" i="1"/>
  <c r="M102" i="1"/>
  <c r="M104" i="1"/>
  <c r="M105" i="1"/>
  <c r="L103" i="1"/>
  <c r="Z44" i="1"/>
  <c r="K44" i="1"/>
  <c r="I36" i="1"/>
  <c r="L37" i="1"/>
  <c r="H36" i="1"/>
  <c r="K37" i="1"/>
  <c r="H23" i="1"/>
  <c r="H37" i="1"/>
  <c r="L36" i="1"/>
  <c r="L44" i="1"/>
  <c r="K36" i="1"/>
  <c r="J37" i="1"/>
  <c r="J36" i="1"/>
  <c r="I37" i="1"/>
  <c r="N75" i="1"/>
  <c r="M75" i="1"/>
  <c r="Z68" i="1"/>
  <c r="K68" i="1"/>
  <c r="G76" i="1"/>
  <c r="L75" i="1"/>
  <c r="L67" i="1"/>
  <c r="H47" i="2"/>
  <c r="L41" i="1"/>
  <c r="F38" i="2"/>
  <c r="E48" i="2"/>
  <c r="E44" i="2"/>
  <c r="H38" i="1"/>
  <c r="E37" i="2"/>
  <c r="H45" i="1"/>
  <c r="P75" i="1"/>
  <c r="M44" i="1"/>
  <c r="Q44" i="1"/>
  <c r="U44" i="1"/>
  <c r="Y44" i="1"/>
  <c r="M36" i="1"/>
  <c r="Q36" i="1"/>
  <c r="U36" i="1"/>
  <c r="Y36" i="1"/>
  <c r="N37" i="1"/>
  <c r="R37" i="1"/>
  <c r="V37" i="1"/>
  <c r="P44" i="1"/>
  <c r="T44" i="1"/>
  <c r="X44" i="1"/>
  <c r="P36" i="1"/>
  <c r="T36" i="1"/>
  <c r="X36" i="1"/>
  <c r="O37" i="1"/>
  <c r="S37" i="1"/>
  <c r="W37" i="1"/>
  <c r="Z36" i="1"/>
  <c r="Z37" i="1"/>
  <c r="F39" i="2"/>
  <c r="I23" i="1"/>
  <c r="I32" i="1"/>
  <c r="E46" i="2"/>
  <c r="O44" i="1"/>
  <c r="S44" i="1"/>
  <c r="W44" i="1"/>
  <c r="O36" i="1"/>
  <c r="S36" i="1"/>
  <c r="W36" i="1"/>
  <c r="P37" i="1"/>
  <c r="T37" i="1"/>
  <c r="X37" i="1"/>
  <c r="N44" i="1"/>
  <c r="R44" i="1"/>
  <c r="V44" i="1"/>
  <c r="N36" i="1"/>
  <c r="R36" i="1"/>
  <c r="V36" i="1"/>
  <c r="M37" i="1"/>
  <c r="Q37" i="1"/>
  <c r="U37" i="1"/>
  <c r="Y37" i="1"/>
  <c r="I75" i="1"/>
  <c r="J75" i="1"/>
  <c r="H75" i="1"/>
  <c r="Y68" i="1"/>
  <c r="G68" i="1"/>
  <c r="L68" i="1"/>
  <c r="Q67" i="1"/>
  <c r="P68" i="1"/>
  <c r="T68" i="1"/>
  <c r="X68" i="1"/>
  <c r="I68" i="1"/>
  <c r="M68" i="1"/>
  <c r="Q68" i="1"/>
  <c r="U68" i="1"/>
  <c r="N68" i="1"/>
  <c r="R68" i="1"/>
  <c r="V68" i="1"/>
  <c r="J68" i="1"/>
  <c r="O68" i="1"/>
  <c r="S68" i="1"/>
  <c r="W68" i="1"/>
  <c r="H68" i="1"/>
  <c r="R75" i="1"/>
  <c r="Q75" i="1"/>
  <c r="I14" i="1"/>
  <c r="I81" i="1"/>
  <c r="H14" i="1"/>
  <c r="H81" i="1"/>
  <c r="I47" i="2"/>
  <c r="G40" i="2"/>
  <c r="G14" i="1"/>
  <c r="K13" i="1"/>
  <c r="K14" i="1"/>
  <c r="L35" i="2"/>
  <c r="M35" i="2"/>
  <c r="A28" i="1"/>
  <c r="H31" i="1"/>
  <c r="A27" i="1"/>
  <c r="G27" i="1"/>
  <c r="J31" i="4"/>
  <c r="I76" i="1"/>
  <c r="M50" i="2"/>
  <c r="N50" i="2"/>
  <c r="O50" i="2"/>
  <c r="P50" i="2"/>
  <c r="Q50" i="2"/>
  <c r="P67" i="1"/>
  <c r="I45" i="2"/>
  <c r="L39" i="1"/>
  <c r="N102" i="1"/>
  <c r="N104" i="1"/>
  <c r="N105" i="1"/>
  <c r="M103" i="1"/>
  <c r="F37" i="2"/>
  <c r="I45" i="1"/>
  <c r="F44" i="2"/>
  <c r="I38" i="1"/>
  <c r="I74" i="1"/>
  <c r="F48" i="2"/>
  <c r="G38" i="2"/>
  <c r="F46" i="2"/>
  <c r="G39" i="2"/>
  <c r="J23" i="1"/>
  <c r="J32" i="1"/>
  <c r="V67" i="1"/>
  <c r="H74" i="1"/>
  <c r="H77" i="1"/>
  <c r="G32" i="1"/>
  <c r="G56" i="1"/>
  <c r="G74" i="1"/>
  <c r="G77" i="1"/>
  <c r="H30" i="1"/>
  <c r="H40" i="2"/>
  <c r="J47" i="2"/>
  <c r="L13" i="1"/>
  <c r="L14" i="1"/>
  <c r="N35" i="2"/>
  <c r="H28" i="1"/>
  <c r="I77" i="1"/>
  <c r="R50" i="2"/>
  <c r="S50" i="2"/>
  <c r="T50" i="2"/>
  <c r="U50" i="2"/>
  <c r="V50" i="2"/>
  <c r="U67" i="1"/>
  <c r="J45" i="2"/>
  <c r="M39" i="1"/>
  <c r="O102" i="1"/>
  <c r="O104" i="1"/>
  <c r="O105" i="1"/>
  <c r="N103" i="1"/>
  <c r="G79" i="1"/>
  <c r="G83" i="1"/>
  <c r="G37" i="2"/>
  <c r="J45" i="1"/>
  <c r="H39" i="2"/>
  <c r="K23" i="1"/>
  <c r="K32" i="1"/>
  <c r="G46" i="2"/>
  <c r="H38" i="2"/>
  <c r="K46" i="1"/>
  <c r="G48" i="2"/>
  <c r="G44" i="2"/>
  <c r="J38" i="1"/>
  <c r="M13" i="1"/>
  <c r="M14" i="1"/>
  <c r="K47" i="2"/>
  <c r="I40" i="2"/>
  <c r="O35" i="2"/>
  <c r="H32" i="1"/>
  <c r="G85" i="1"/>
  <c r="G89" i="1"/>
  <c r="G88" i="1"/>
  <c r="E37" i="1"/>
  <c r="K45" i="2"/>
  <c r="N39" i="1"/>
  <c r="P102" i="1"/>
  <c r="P104" i="1"/>
  <c r="P105" i="1"/>
  <c r="O103" i="1"/>
  <c r="J74" i="1"/>
  <c r="J77" i="1"/>
  <c r="H44" i="2"/>
  <c r="I39" i="2"/>
  <c r="L23" i="1"/>
  <c r="L32" i="1"/>
  <c r="H37" i="2"/>
  <c r="H48" i="2"/>
  <c r="I38" i="2"/>
  <c r="L46" i="1"/>
  <c r="H46" i="2"/>
  <c r="J40" i="2"/>
  <c r="L47" i="2"/>
  <c r="N13" i="1"/>
  <c r="N14" i="1"/>
  <c r="P35" i="2"/>
  <c r="L45" i="2"/>
  <c r="O39" i="1"/>
  <c r="Q102" i="1"/>
  <c r="Q104" i="1"/>
  <c r="Q105" i="1"/>
  <c r="P103" i="1"/>
  <c r="I37" i="2"/>
  <c r="J39" i="2"/>
  <c r="M23" i="1"/>
  <c r="M32" i="1"/>
  <c r="K74" i="1"/>
  <c r="K77" i="1"/>
  <c r="L40" i="1"/>
  <c r="I46" i="2"/>
  <c r="J38" i="2"/>
  <c r="M46" i="1"/>
  <c r="L42" i="1"/>
  <c r="I48" i="2"/>
  <c r="I44" i="2"/>
  <c r="K40" i="2"/>
  <c r="O13" i="1"/>
  <c r="O14" i="1"/>
  <c r="M47" i="2"/>
  <c r="Q41" i="1"/>
  <c r="Q35" i="2"/>
  <c r="M45" i="2"/>
  <c r="P39" i="1"/>
  <c r="R102" i="1"/>
  <c r="R104" i="1"/>
  <c r="R105" i="1"/>
  <c r="Q103" i="1"/>
  <c r="J44" i="2"/>
  <c r="J48" i="2"/>
  <c r="K38" i="2"/>
  <c r="N46" i="1"/>
  <c r="K39" i="2"/>
  <c r="N23" i="1"/>
  <c r="N32" i="1"/>
  <c r="J37" i="2"/>
  <c r="L74" i="1"/>
  <c r="L77" i="1"/>
  <c r="J46" i="2"/>
  <c r="N47" i="2"/>
  <c r="P13" i="1"/>
  <c r="P14" i="1"/>
  <c r="L40" i="2"/>
  <c r="R35" i="2"/>
  <c r="N45" i="2"/>
  <c r="Q39" i="1"/>
  <c r="S102" i="1"/>
  <c r="S104" i="1"/>
  <c r="S105" i="1"/>
  <c r="R103" i="1"/>
  <c r="K46" i="2"/>
  <c r="K37" i="2"/>
  <c r="L39" i="2"/>
  <c r="O23" i="1"/>
  <c r="O32" i="1"/>
  <c r="L38" i="2"/>
  <c r="O46" i="1"/>
  <c r="K44" i="2"/>
  <c r="K48" i="2"/>
  <c r="M74" i="1"/>
  <c r="M77" i="1"/>
  <c r="Q13" i="1"/>
  <c r="Q14" i="1"/>
  <c r="O47" i="2"/>
  <c r="M40" i="2"/>
  <c r="S35" i="2"/>
  <c r="O45" i="2"/>
  <c r="R39" i="1"/>
  <c r="T102" i="1"/>
  <c r="T104" i="1"/>
  <c r="T105" i="1"/>
  <c r="S103" i="1"/>
  <c r="L48" i="2"/>
  <c r="L44" i="2"/>
  <c r="M39" i="2"/>
  <c r="P23" i="1"/>
  <c r="P32" i="1"/>
  <c r="L37" i="2"/>
  <c r="M38" i="2"/>
  <c r="P46" i="1"/>
  <c r="L46" i="2"/>
  <c r="N74" i="1"/>
  <c r="N77" i="1"/>
  <c r="N40" i="2"/>
  <c r="P47" i="2"/>
  <c r="R13" i="1"/>
  <c r="R14" i="1"/>
  <c r="T35" i="2"/>
  <c r="P45" i="2"/>
  <c r="S39" i="1"/>
  <c r="U102" i="1"/>
  <c r="U104" i="1"/>
  <c r="U105" i="1"/>
  <c r="T103" i="1"/>
  <c r="M37" i="2"/>
  <c r="N39" i="2"/>
  <c r="Q23" i="1"/>
  <c r="Q32" i="1"/>
  <c r="M44" i="2"/>
  <c r="M46" i="2"/>
  <c r="N38" i="2"/>
  <c r="Q46" i="1"/>
  <c r="M48" i="2"/>
  <c r="O74" i="1"/>
  <c r="O77" i="1"/>
  <c r="S13" i="1"/>
  <c r="S14" i="1"/>
  <c r="Q47" i="2"/>
  <c r="O40" i="2"/>
  <c r="U35" i="2"/>
  <c r="Q45" i="2"/>
  <c r="T39" i="1"/>
  <c r="V102" i="1"/>
  <c r="V104" i="1"/>
  <c r="V105" i="1"/>
  <c r="U103" i="1"/>
  <c r="Q42" i="1"/>
  <c r="N48" i="2"/>
  <c r="O38" i="2"/>
  <c r="R46" i="1"/>
  <c r="O39" i="2"/>
  <c r="R23" i="1"/>
  <c r="R32" i="1"/>
  <c r="N37" i="2"/>
  <c r="P74" i="1"/>
  <c r="P77" i="1"/>
  <c r="Q40" i="1"/>
  <c r="N46" i="2"/>
  <c r="N44" i="2"/>
  <c r="P40" i="2"/>
  <c r="R47" i="2"/>
  <c r="V41" i="1"/>
  <c r="T13" i="1"/>
  <c r="T14" i="1"/>
  <c r="V35" i="2"/>
  <c r="R45" i="2"/>
  <c r="U39" i="1"/>
  <c r="W102" i="1"/>
  <c r="W104" i="1"/>
  <c r="W105" i="1"/>
  <c r="V103" i="1"/>
  <c r="O44" i="2"/>
  <c r="O37" i="2"/>
  <c r="P39" i="2"/>
  <c r="S23" i="1"/>
  <c r="S32" i="1"/>
  <c r="P38" i="2"/>
  <c r="S46" i="1"/>
  <c r="R40" i="1"/>
  <c r="O46" i="2"/>
  <c r="O48" i="2"/>
  <c r="Q74" i="1"/>
  <c r="Q77" i="1"/>
  <c r="U13" i="1"/>
  <c r="U14" i="1"/>
  <c r="S47" i="2"/>
  <c r="Q40" i="2"/>
  <c r="S45" i="2"/>
  <c r="V39" i="1"/>
  <c r="X102" i="1"/>
  <c r="X104" i="1"/>
  <c r="X105" i="1"/>
  <c r="W103" i="1"/>
  <c r="P48" i="2"/>
  <c r="S40" i="1"/>
  <c r="P46" i="2"/>
  <c r="Q38" i="2"/>
  <c r="T46" i="1"/>
  <c r="P44" i="2"/>
  <c r="Q39" i="2"/>
  <c r="T23" i="1"/>
  <c r="T32" i="1"/>
  <c r="P37" i="2"/>
  <c r="R74" i="1"/>
  <c r="R77" i="1"/>
  <c r="R40" i="2"/>
  <c r="T47" i="2"/>
  <c r="V13" i="1"/>
  <c r="V14" i="1"/>
  <c r="T45" i="2"/>
  <c r="W39" i="1"/>
  <c r="Y102" i="1"/>
  <c r="Y104" i="1"/>
  <c r="Y105" i="1"/>
  <c r="X103" i="1"/>
  <c r="S74" i="1"/>
  <c r="S77" i="1"/>
  <c r="Q37" i="2"/>
  <c r="R39" i="2"/>
  <c r="U23" i="1"/>
  <c r="U32" i="1"/>
  <c r="Q44" i="2"/>
  <c r="R38" i="2"/>
  <c r="U46" i="1"/>
  <c r="T40" i="1"/>
  <c r="Q46" i="2"/>
  <c r="Q48" i="2"/>
  <c r="U47" i="2"/>
  <c r="S40" i="2"/>
  <c r="W13" i="1"/>
  <c r="W14" i="1"/>
  <c r="U45" i="2"/>
  <c r="X39" i="1"/>
  <c r="Z102" i="1"/>
  <c r="Y103" i="1"/>
  <c r="T74" i="1"/>
  <c r="T77" i="1"/>
  <c r="R48" i="2"/>
  <c r="S38" i="2"/>
  <c r="V46" i="1"/>
  <c r="R44" i="2"/>
  <c r="S39" i="2"/>
  <c r="V23" i="1"/>
  <c r="V32" i="1"/>
  <c r="R37" i="2"/>
  <c r="U40" i="1"/>
  <c r="R46" i="2"/>
  <c r="X13" i="1"/>
  <c r="X14" i="1"/>
  <c r="T40" i="2"/>
  <c r="V47" i="2"/>
  <c r="Z103" i="1"/>
  <c r="Z104" i="1"/>
  <c r="Z105" i="1"/>
  <c r="V45" i="2"/>
  <c r="Y39" i="1"/>
  <c r="U74" i="1"/>
  <c r="U77" i="1"/>
  <c r="S37" i="2"/>
  <c r="T39" i="2"/>
  <c r="W23" i="1"/>
  <c r="W32" i="1"/>
  <c r="S44" i="2"/>
  <c r="T38" i="2"/>
  <c r="W46" i="1"/>
  <c r="V40" i="1"/>
  <c r="S46" i="2"/>
  <c r="V42" i="1"/>
  <c r="S48" i="2"/>
  <c r="U40" i="2"/>
  <c r="Y13" i="1"/>
  <c r="Y14" i="1"/>
  <c r="Z39" i="1"/>
  <c r="E39" i="1"/>
  <c r="V74" i="1"/>
  <c r="V77" i="1"/>
  <c r="U38" i="2"/>
  <c r="X46" i="1"/>
  <c r="T44" i="2"/>
  <c r="U39" i="2"/>
  <c r="X23" i="1"/>
  <c r="X32" i="1"/>
  <c r="T37" i="2"/>
  <c r="T48" i="2"/>
  <c r="W40" i="1"/>
  <c r="T46" i="2"/>
  <c r="Z13" i="1"/>
  <c r="Z14" i="1"/>
  <c r="V40" i="2"/>
  <c r="U48" i="2"/>
  <c r="U37" i="2"/>
  <c r="V39" i="2"/>
  <c r="Y23" i="1"/>
  <c r="Y32" i="1"/>
  <c r="U44" i="2"/>
  <c r="V38" i="2"/>
  <c r="Y46" i="1"/>
  <c r="X40" i="1"/>
  <c r="U46" i="2"/>
  <c r="W74" i="1"/>
  <c r="W77" i="1"/>
  <c r="X74" i="1"/>
  <c r="X77" i="1"/>
  <c r="Y40" i="1"/>
  <c r="V46" i="2"/>
  <c r="Z40" i="1"/>
  <c r="Z46" i="1"/>
  <c r="E46" i="1"/>
  <c r="V44" i="2"/>
  <c r="Z23" i="1"/>
  <c r="Z32" i="1"/>
  <c r="E23" i="1"/>
  <c r="V37" i="2"/>
  <c r="V48" i="2"/>
  <c r="E41" i="1"/>
  <c r="Y74" i="1"/>
  <c r="Y77" i="1"/>
  <c r="E40" i="1"/>
  <c r="E45" i="1"/>
  <c r="Z74" i="1"/>
  <c r="Z77" i="1"/>
  <c r="E38" i="1"/>
  <c r="E42" i="1"/>
  <c r="H56" i="1"/>
  <c r="H79" i="1"/>
  <c r="H83" i="1"/>
  <c r="I56" i="1"/>
  <c r="I79" i="1"/>
  <c r="I83" i="1"/>
  <c r="J56" i="1"/>
  <c r="J79" i="1"/>
  <c r="J81" i="1"/>
  <c r="K56" i="1"/>
  <c r="K79" i="1"/>
  <c r="K81" i="1"/>
  <c r="L56" i="1"/>
  <c r="L79" i="1"/>
  <c r="L81" i="1"/>
  <c r="M56" i="1"/>
  <c r="M79" i="1"/>
  <c r="M81" i="1"/>
  <c r="N56" i="1"/>
  <c r="N79" i="1"/>
  <c r="N81" i="1"/>
  <c r="O56" i="1"/>
  <c r="O79" i="1"/>
  <c r="O81" i="1"/>
  <c r="P56" i="1"/>
  <c r="P79" i="1"/>
  <c r="P81" i="1"/>
  <c r="Q56" i="1"/>
  <c r="Q79" i="1"/>
  <c r="Q81" i="1"/>
  <c r="R56" i="1"/>
  <c r="R79" i="1"/>
  <c r="R81" i="1"/>
  <c r="S56" i="1"/>
  <c r="S79" i="1"/>
  <c r="S81" i="1"/>
  <c r="T56" i="1"/>
  <c r="T79" i="1"/>
  <c r="T81" i="1"/>
  <c r="U56" i="1"/>
  <c r="U79" i="1"/>
  <c r="U81" i="1"/>
  <c r="V56" i="1"/>
  <c r="V79" i="1"/>
  <c r="V81" i="1"/>
  <c r="W56" i="1"/>
  <c r="W79" i="1"/>
  <c r="W81" i="1"/>
  <c r="X56" i="1"/>
  <c r="X79" i="1"/>
  <c r="X81" i="1"/>
  <c r="Y56" i="1"/>
  <c r="Y79" i="1"/>
  <c r="Z56" i="1"/>
  <c r="Z79" i="1"/>
  <c r="Z81" i="1"/>
  <c r="H85" i="1"/>
  <c r="H89" i="1"/>
  <c r="I85" i="1"/>
  <c r="I86" i="1"/>
  <c r="K83" i="1"/>
  <c r="K85" i="1"/>
  <c r="K86" i="1"/>
  <c r="G86" i="1"/>
  <c r="W83" i="1"/>
  <c r="W85" i="1"/>
  <c r="W86" i="1"/>
  <c r="O83" i="1"/>
  <c r="O85" i="1"/>
  <c r="O86" i="1"/>
  <c r="S83" i="1"/>
  <c r="S85" i="1"/>
  <c r="S86" i="1"/>
  <c r="U83" i="1"/>
  <c r="U85" i="1"/>
  <c r="U86" i="1"/>
  <c r="Q83" i="1"/>
  <c r="Q85" i="1"/>
  <c r="Q86" i="1"/>
  <c r="M83" i="1"/>
  <c r="M85" i="1"/>
  <c r="M86" i="1"/>
  <c r="Y81" i="1"/>
  <c r="Y83" i="1"/>
  <c r="Y85" i="1"/>
  <c r="Y86" i="1"/>
  <c r="Z83" i="1"/>
  <c r="Z85" i="1"/>
  <c r="Z86" i="1"/>
  <c r="X83" i="1"/>
  <c r="X85" i="1"/>
  <c r="X86" i="1"/>
  <c r="V83" i="1"/>
  <c r="V85" i="1"/>
  <c r="V86" i="1"/>
  <c r="T83" i="1"/>
  <c r="T85" i="1"/>
  <c r="T86" i="1"/>
  <c r="R83" i="1"/>
  <c r="R85" i="1"/>
  <c r="R86" i="1"/>
  <c r="P83" i="1"/>
  <c r="P85" i="1"/>
  <c r="P86" i="1"/>
  <c r="N83" i="1"/>
  <c r="N85" i="1"/>
  <c r="N86" i="1"/>
  <c r="L83" i="1"/>
  <c r="L85" i="1"/>
  <c r="L86" i="1"/>
  <c r="J83" i="1"/>
  <c r="J85" i="1"/>
  <c r="J86" i="1"/>
  <c r="H88" i="1"/>
  <c r="I88" i="1"/>
  <c r="H86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E94" i="1"/>
  <c r="E95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</calcChain>
</file>

<file path=xl/comments1.xml><?xml version="1.0" encoding="utf-8"?>
<comments xmlns="http://schemas.openxmlformats.org/spreadsheetml/2006/main">
  <authors>
    <author>wdswinford</author>
  </authors>
  <commentList>
    <comment ref="G6" authorId="0">
      <text>
        <r>
          <rPr>
            <b/>
            <sz val="8"/>
            <color indexed="81"/>
            <rFont val="Tahoma"/>
            <family val="2"/>
          </rPr>
          <t>wdswinford:</t>
        </r>
        <r>
          <rPr>
            <sz val="8"/>
            <color indexed="81"/>
            <rFont val="Tahoma"/>
            <family val="2"/>
          </rPr>
          <t xml:space="preserve">
1st thinning occurs in the 18th year of the orchard</t>
        </r>
      </text>
    </comment>
    <comment ref="D7" authorId="0">
      <text>
        <r>
          <rPr>
            <b/>
            <sz val="8"/>
            <color indexed="81"/>
            <rFont val="Tahoma"/>
            <family val="2"/>
          </rPr>
          <t>wdswinford:</t>
        </r>
        <r>
          <rPr>
            <sz val="8"/>
            <color indexed="81"/>
            <rFont val="Tahoma"/>
            <family val="2"/>
          </rPr>
          <t xml:space="preserve">
Input the average of Gasoline and Diesel current prices. Prices are inflated in later years</t>
        </r>
      </text>
    </comment>
  </commentList>
</comments>
</file>

<file path=xl/comments2.xml><?xml version="1.0" encoding="utf-8"?>
<comments xmlns="http://schemas.openxmlformats.org/spreadsheetml/2006/main">
  <authors>
    <author>wdswinford</author>
  </authors>
  <commentList>
    <comment ref="CU8" authorId="0">
      <text>
        <r>
          <rPr>
            <b/>
            <sz val="8"/>
            <color indexed="81"/>
            <rFont val="Tahoma"/>
            <family val="2"/>
          </rPr>
          <t>wdswinford:</t>
        </r>
        <r>
          <rPr>
            <sz val="8"/>
            <color indexed="81"/>
            <rFont val="Tahoma"/>
            <family val="2"/>
          </rPr>
          <t xml:space="preserve">
Make this =$/mixing unit</t>
        </r>
      </text>
    </comment>
    <comment ref="CU9" authorId="0">
      <text>
        <r>
          <rPr>
            <b/>
            <sz val="8"/>
            <color indexed="81"/>
            <rFont val="Tahoma"/>
            <family val="2"/>
          </rPr>
          <t>wdswinford:</t>
        </r>
        <r>
          <rPr>
            <sz val="8"/>
            <color indexed="81"/>
            <rFont val="Tahoma"/>
            <family val="2"/>
          </rPr>
          <t xml:space="preserve">
Make this =$/mixing unit</t>
        </r>
      </text>
    </comment>
  </commentList>
</comments>
</file>

<file path=xl/comments3.xml><?xml version="1.0" encoding="utf-8"?>
<comments xmlns="http://schemas.openxmlformats.org/spreadsheetml/2006/main">
  <authors>
    <author>wdswinford</author>
  </authors>
  <commentList>
    <comment ref="F7" authorId="0">
      <text>
        <r>
          <rPr>
            <b/>
            <sz val="8"/>
            <color indexed="81"/>
            <rFont val="Tahoma"/>
            <family val="2"/>
          </rPr>
          <t>wdswinford:</t>
        </r>
        <r>
          <rPr>
            <sz val="8"/>
            <color indexed="81"/>
            <rFont val="Tahoma"/>
            <family val="2"/>
          </rPr>
          <t xml:space="preserve">
Change Product Names below and updates will be made all over the document
</t>
        </r>
      </text>
    </comment>
    <comment ref="G12" authorId="0">
      <text>
        <r>
          <rPr>
            <b/>
            <sz val="8"/>
            <color indexed="81"/>
            <rFont val="Tahoma"/>
            <family val="2"/>
          </rPr>
          <t>wdswinford:</t>
        </r>
        <r>
          <rPr>
            <sz val="8"/>
            <color indexed="81"/>
            <rFont val="Tahoma"/>
            <family val="2"/>
          </rPr>
          <t xml:space="preserve">
Only applied on 1/5 of Acerage thus amount is discounted
</t>
        </r>
      </text>
    </comment>
    <comment ref="L17" authorId="0">
      <text>
        <r>
          <rPr>
            <b/>
            <sz val="8"/>
            <color indexed="81"/>
            <rFont val="Tahoma"/>
            <family val="2"/>
          </rPr>
          <t>wdswinford:</t>
        </r>
        <r>
          <rPr>
            <sz val="8"/>
            <color indexed="81"/>
            <rFont val="Tahoma"/>
            <family val="2"/>
          </rPr>
          <t xml:space="preserve">
Applied with a hand applicator to 1/5 of every acre. =wage rate/5</t>
        </r>
      </text>
    </comment>
    <comment ref="M19" authorId="0">
      <text>
        <r>
          <rPr>
            <b/>
            <sz val="8"/>
            <color indexed="81"/>
            <rFont val="Tahoma"/>
            <family val="2"/>
          </rPr>
          <t>wdswinford:</t>
        </r>
        <r>
          <rPr>
            <sz val="8"/>
            <color indexed="81"/>
            <rFont val="Tahoma"/>
            <family val="2"/>
          </rPr>
          <t xml:space="preserve">
If needed one application every 2 years. Make this cell =.5
</t>
        </r>
      </text>
    </comment>
    <comment ref="M20" authorId="0">
      <text>
        <r>
          <rPr>
            <b/>
            <sz val="8"/>
            <color indexed="81"/>
            <rFont val="Tahoma"/>
            <family val="2"/>
          </rPr>
          <t>wdswinford:</t>
        </r>
        <r>
          <rPr>
            <sz val="8"/>
            <color indexed="81"/>
            <rFont val="Tahoma"/>
            <family val="2"/>
          </rPr>
          <t xml:space="preserve">
If needed one application every 2 years. Make this cell =.5</t>
        </r>
      </text>
    </comment>
  </commentList>
</comments>
</file>

<file path=xl/sharedStrings.xml><?xml version="1.0" encoding="utf-8"?>
<sst xmlns="http://schemas.openxmlformats.org/spreadsheetml/2006/main" count="665" uniqueCount="291">
  <si>
    <t>Establishment &amp; Production Enterprise Budget</t>
  </si>
  <si>
    <t>Irrigated &amp; Improved Pecan Orchard</t>
  </si>
  <si>
    <t>Production</t>
  </si>
  <si>
    <t>Units</t>
  </si>
  <si>
    <t>Land Preparation</t>
  </si>
  <si>
    <t>Trees</t>
  </si>
  <si>
    <t>Tree Cost:</t>
  </si>
  <si>
    <t>Physical Labor</t>
  </si>
  <si>
    <t>Replant</t>
  </si>
  <si>
    <t>First Year Tree Survival Rate:</t>
  </si>
  <si>
    <t>Year 1</t>
  </si>
  <si>
    <t xml:space="preserve">Year 2 </t>
  </si>
  <si>
    <t>Year 3</t>
  </si>
  <si>
    <t>Year 4</t>
  </si>
  <si>
    <t>Year 6</t>
  </si>
  <si>
    <t>Year 7</t>
  </si>
  <si>
    <t>Year 5</t>
  </si>
  <si>
    <t>per Acre</t>
  </si>
  <si>
    <t>NMLH</t>
  </si>
  <si>
    <t>Pecan Yield</t>
  </si>
  <si>
    <t>Driver</t>
  </si>
  <si>
    <t>Yield</t>
  </si>
  <si>
    <t>Fertilizer</t>
  </si>
  <si>
    <t>Cultural Maintenance</t>
  </si>
  <si>
    <t>Testing &amp; Information</t>
  </si>
  <si>
    <t>Equipment Use</t>
  </si>
  <si>
    <t>$/lb</t>
  </si>
  <si>
    <t>Total Production Revenue</t>
  </si>
  <si>
    <t>Insurance Expenses</t>
  </si>
  <si>
    <t>Establishment Expenses</t>
  </si>
  <si>
    <t>Total Planting Expenses</t>
  </si>
  <si>
    <t>Production Expenses</t>
  </si>
  <si>
    <t>Total Production Expenses</t>
  </si>
  <si>
    <t>Harvest Expenses</t>
  </si>
  <si>
    <t>Total Harvest Expenses</t>
  </si>
  <si>
    <t>Overhead Expenses</t>
  </si>
  <si>
    <t>Depreciation</t>
  </si>
  <si>
    <t>Total Overhead Expenses</t>
  </si>
  <si>
    <t>Rates</t>
  </si>
  <si>
    <t>Quantities</t>
  </si>
  <si>
    <t>Price &amp; Quantity Inputs</t>
  </si>
  <si>
    <t>Total Expenses</t>
  </si>
  <si>
    <t>Dep Sch</t>
  </si>
  <si>
    <t>Acreage</t>
  </si>
  <si>
    <t>CR</t>
  </si>
  <si>
    <t>Intrepid</t>
  </si>
  <si>
    <t>$/Gal</t>
  </si>
  <si>
    <t>Product Name</t>
  </si>
  <si>
    <t>Nitrogen</t>
  </si>
  <si>
    <t>Chemical Mixing Rates</t>
  </si>
  <si>
    <t>Amount</t>
  </si>
  <si>
    <t>Water</t>
  </si>
  <si>
    <t>Herbicide</t>
  </si>
  <si>
    <t>Cumulative Net Income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</si>
  <si>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</si>
  <si>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</si>
  <si>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</si>
  <si>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</si>
  <si>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</si>
  <si>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</si>
  <si>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</si>
  <si>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</si>
  <si>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</si>
  <si>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</si>
  <si>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</si>
  <si>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</si>
  <si>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</si>
  <si>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Bulk Chemical/Fertilizer Costs</t>
  </si>
  <si>
    <t>Custom Rate</t>
  </si>
  <si>
    <t># of Applications/Yr</t>
  </si>
  <si>
    <t>Roundup</t>
  </si>
  <si>
    <t>Fertilizers</t>
  </si>
  <si>
    <t>Insecticides</t>
  </si>
  <si>
    <t>Herbicides</t>
  </si>
  <si>
    <t>Spreader Sticker</t>
  </si>
  <si>
    <t>Spreader Sticker Calculations</t>
  </si>
  <si>
    <t>Unit</t>
  </si>
  <si>
    <t>Per</t>
  </si>
  <si>
    <t>pt</t>
  </si>
  <si>
    <t>Cost</t>
  </si>
  <si>
    <t>16oz/pt</t>
  </si>
  <si>
    <t>16oz/100gal</t>
  </si>
  <si>
    <t>128 oz/gal</t>
  </si>
  <si>
    <t>100gal=12800</t>
  </si>
  <si>
    <t>16oz/12800</t>
  </si>
  <si>
    <t>Phosphorus</t>
  </si>
  <si>
    <t>Potassium</t>
  </si>
  <si>
    <t>Manganese</t>
  </si>
  <si>
    <t>Zinc Yrs 1-4</t>
  </si>
  <si>
    <t>Zinc Yrs 5-50</t>
  </si>
  <si>
    <t>Units/Acre</t>
  </si>
  <si>
    <t>$/oz</t>
  </si>
  <si>
    <t>Insecticide</t>
  </si>
  <si>
    <t>Sevin</t>
  </si>
  <si>
    <t>$/gal</t>
  </si>
  <si>
    <t>Water for application</t>
  </si>
  <si>
    <t>$/hr</t>
  </si>
  <si>
    <t>lbs/ac</t>
  </si>
  <si>
    <t>Pecan Price</t>
  </si>
  <si>
    <t>NMLH-Non-Machine Labor</t>
  </si>
  <si>
    <t xml:space="preserve">Actual </t>
  </si>
  <si>
    <t>Average Price</t>
  </si>
  <si>
    <t>Assets</t>
  </si>
  <si>
    <t>Brand</t>
  </si>
  <si>
    <t>Type</t>
  </si>
  <si>
    <t>Year</t>
  </si>
  <si>
    <t>Purchase Value</t>
  </si>
  <si>
    <t>Warrior 2</t>
  </si>
  <si>
    <t>Lambesi</t>
  </si>
  <si>
    <t>Nickel</t>
  </si>
  <si>
    <t>$/pt</t>
  </si>
  <si>
    <t>Mowing</t>
  </si>
  <si>
    <t>John Deere</t>
  </si>
  <si>
    <t>Inflation Rate</t>
  </si>
  <si>
    <t>oz/ac</t>
  </si>
  <si>
    <t>pts/ac</t>
  </si>
  <si>
    <t>gal/ac</t>
  </si>
  <si>
    <t>gal</t>
  </si>
  <si>
    <t>$/ac</t>
  </si>
  <si>
    <t>$/tree</t>
  </si>
  <si>
    <t>Super Sacks</t>
  </si>
  <si>
    <t>27 HP Tractor</t>
  </si>
  <si>
    <t>120 HP Tractor</t>
  </si>
  <si>
    <t>Model</t>
  </si>
  <si>
    <t>Savage</t>
  </si>
  <si>
    <t>Large Brush Rake</t>
  </si>
  <si>
    <t>Small Brush Rake</t>
  </si>
  <si>
    <t>500 gal Sprayer</t>
  </si>
  <si>
    <t>Tree Shaker</t>
  </si>
  <si>
    <t>ATV</t>
  </si>
  <si>
    <t>Book Value</t>
  </si>
  <si>
    <t>Annual Depreciation</t>
  </si>
  <si>
    <t>Harvestor</t>
  </si>
  <si>
    <t>Big Tex</t>
  </si>
  <si>
    <t>Field Cleaner</t>
  </si>
  <si>
    <t>Pump House</t>
  </si>
  <si>
    <t>1000 gal  Sprayer</t>
  </si>
  <si>
    <t>Super Sack Elevator</t>
  </si>
  <si>
    <t>Dump Trailer</t>
  </si>
  <si>
    <t>$/sack</t>
  </si>
  <si>
    <t>Unit Cost of Produciton</t>
  </si>
  <si>
    <t>Total Equipment Cost</t>
  </si>
  <si>
    <t>Cost of Capital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</si>
  <si>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</si>
  <si>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</si>
  <si>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</si>
  <si>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</si>
  <si>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</si>
  <si>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</si>
  <si>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</si>
  <si>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</si>
  <si>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October</t>
  </si>
  <si>
    <t>November</t>
  </si>
  <si>
    <t>December</t>
  </si>
  <si>
    <t>HX 15</t>
  </si>
  <si>
    <t>Honda</t>
  </si>
  <si>
    <t>4X Rancher</t>
  </si>
  <si>
    <t>Brush Removal</t>
  </si>
  <si>
    <t>Discing</t>
  </si>
  <si>
    <t>Soil Testing</t>
  </si>
  <si>
    <t>Pump House Construction</t>
  </si>
  <si>
    <t>Survey and Mark Planting location</t>
  </si>
  <si>
    <t>Install irrigation system</t>
  </si>
  <si>
    <t>Sept</t>
  </si>
  <si>
    <t>Oct</t>
  </si>
  <si>
    <t>Pre-Order Trees</t>
  </si>
  <si>
    <t>Initial Planting</t>
  </si>
  <si>
    <t>Establishment</t>
  </si>
  <si>
    <t>--Hand Pick</t>
  </si>
  <si>
    <t>Yes</t>
  </si>
  <si>
    <t>No</t>
  </si>
  <si>
    <t>DAP (18-46-0)</t>
  </si>
  <si>
    <t>Urea (46-0-0)</t>
  </si>
  <si>
    <t>Potash (0-0-60)</t>
  </si>
  <si>
    <t>$/Tree</t>
  </si>
  <si>
    <t>Initial Trees/Acre:</t>
  </si>
  <si>
    <t>Trees/Acre 1st Thinning:</t>
  </si>
  <si>
    <t>Total Acres for this Orchard:</t>
  </si>
  <si>
    <t>Shake Trees</t>
  </si>
  <si>
    <t>ATV Rake</t>
  </si>
  <si>
    <t>Present Value of Net Income</t>
  </si>
  <si>
    <t>Net Present Value per Acre for Total Period</t>
  </si>
  <si>
    <t>Discount Factor</t>
  </si>
  <si>
    <t>6' Brush Hog</t>
  </si>
  <si>
    <t>15' Batwing Mower</t>
  </si>
  <si>
    <t>hr/ac</t>
  </si>
  <si>
    <t>Pruning</t>
  </si>
  <si>
    <t>Thinning</t>
  </si>
  <si>
    <t>Leaf Analysis</t>
  </si>
  <si>
    <t>Casebearer Insect Traps</t>
  </si>
  <si>
    <t>Pecan Wevil Traps</t>
  </si>
  <si>
    <t>times/yr</t>
  </si>
  <si>
    <t>Owned or Rented Orchard:</t>
  </si>
  <si>
    <t>Owned</t>
  </si>
  <si>
    <t>Rented</t>
  </si>
  <si>
    <t>Yearly Rent Cost per Acre:</t>
  </si>
  <si>
    <t>$/Trap</t>
  </si>
  <si>
    <t>Fetilizer &amp; Chemical Interest</t>
  </si>
  <si>
    <t>IR</t>
  </si>
  <si>
    <t>Tree Shelters &amp; Placement</t>
  </si>
  <si>
    <t>Fuel/Time</t>
  </si>
  <si>
    <t>Fuel Price:</t>
  </si>
  <si>
    <t>Long Term Inflation Rate:</t>
  </si>
  <si>
    <t>Truck &amp; Trailer (Fuel, Labor, Lube, Repairs)</t>
  </si>
  <si>
    <t>Tractor Rake  (Fuel, Labor, Lube, Repairs)</t>
  </si>
  <si>
    <t>Tractor Shake  (Fuel, Labor, Lube, Repairs)</t>
  </si>
  <si>
    <t>Tractor Harvestor  (Fuel, Labor, Lube, Repairs)</t>
  </si>
  <si>
    <t>ATV Rake  (Fuel, Labor, Lube, Repairs)</t>
  </si>
  <si>
    <t>Yearly Insurance Expense:</t>
  </si>
  <si>
    <t>Take Pecans to Cleaner in Super Sacks</t>
  </si>
  <si>
    <t>Total $</t>
  </si>
  <si>
    <t>Tractor Sprayer (Fuel, Labor, Lube, Repairs)</t>
  </si>
  <si>
    <t>app/yr</t>
  </si>
  <si>
    <t>Subsoil (Rip or Slip Plow)</t>
  </si>
  <si>
    <t>Disc</t>
  </si>
  <si>
    <t>Level</t>
  </si>
  <si>
    <t xml:space="preserve">Pump </t>
  </si>
  <si>
    <t>Irrigation Pipes</t>
  </si>
  <si>
    <t>Per Acre Cost</t>
  </si>
  <si>
    <t>#/ac</t>
  </si>
  <si>
    <t>Cumulative PV of Net Income</t>
  </si>
  <si>
    <t>Machinery Interest</t>
  </si>
  <si>
    <t>Principal to base Interest off of</t>
  </si>
  <si>
    <t>Yearly Land Interest Expense:</t>
  </si>
  <si>
    <t>Leveling with Dozer</t>
  </si>
  <si>
    <t>Build Pond or Drill Well:</t>
  </si>
  <si>
    <t>Pond</t>
  </si>
  <si>
    <t>Well</t>
  </si>
  <si>
    <t>Net Present Value per Tree for Total Period</t>
  </si>
  <si>
    <t>20 Acres</t>
  </si>
  <si>
    <t>45 Acres</t>
  </si>
  <si>
    <t>55 Acres</t>
  </si>
  <si>
    <t>75 Acres</t>
  </si>
  <si>
    <t>100 Acres</t>
  </si>
  <si>
    <t>150 Acres</t>
  </si>
  <si>
    <t>200 Acres</t>
  </si>
  <si>
    <t>Survey, Mark, Dig &amp; Plant</t>
  </si>
  <si>
    <t>Nickel Application?</t>
  </si>
  <si>
    <t>Manganese Application?</t>
  </si>
  <si>
    <t>Cumulative PV of Net Income (soybeans)</t>
  </si>
  <si>
    <t>Cumulative PV of Net Income (wheat for grain)</t>
  </si>
  <si>
    <t>Cumulative PV of Net Income (50 Year Pecans)</t>
  </si>
  <si>
    <t>Cumulative PV of Net Income (100 Year Pecans)</t>
  </si>
  <si>
    <t>Cumulative PV of Net Income (200 Year Pecans)</t>
  </si>
  <si>
    <t>(Year 1) Establishment Pracitces</t>
  </si>
  <si>
    <t>Thin Away 1/3 of Trees (Year 18)</t>
  </si>
  <si>
    <t>Tractor Rake Debris</t>
  </si>
  <si>
    <t>Year (2-4) (Juvenile Orchard)</t>
  </si>
  <si>
    <t>Hand Harvest Pecans (Year 4)</t>
  </si>
  <si>
    <t>Net Income</t>
  </si>
  <si>
    <t>Lay Out Orchard (35 trees per acre)</t>
  </si>
  <si>
    <t>Prepare Land by ripping or plowing</t>
  </si>
  <si>
    <t>Herbicide Application (Roundup)</t>
  </si>
  <si>
    <t>Attach tree shelters</t>
  </si>
  <si>
    <t>Plant trees on grid</t>
  </si>
  <si>
    <t>Insecticide Application (Sevin)</t>
  </si>
  <si>
    <t>Fertilizer Application (.4 lbs Zinc per acre)</t>
  </si>
  <si>
    <t xml:space="preserve">Insecticide Application (Warrior) </t>
  </si>
  <si>
    <t xml:space="preserve">Insecticide Application (Intrepid) </t>
  </si>
  <si>
    <t>Well Drilling or Pond Building (5 gal per min per acre of trees)</t>
  </si>
  <si>
    <t>Fertilizer Application (100 lbs Urea per acre)</t>
  </si>
  <si>
    <t>Fertilizer Application (6 lbs Zinc per acre)</t>
  </si>
  <si>
    <t>Prune Trees to Train</t>
  </si>
  <si>
    <t>Month</t>
  </si>
  <si>
    <t>Production Activity</t>
  </si>
  <si>
    <t>Purchase Harvesting Equipment (Year 5)</t>
  </si>
  <si>
    <t>Year 5-20 (Production Practices)</t>
  </si>
  <si>
    <t>Run Harvesters</t>
  </si>
  <si>
    <t>Wheat</t>
  </si>
  <si>
    <t>Average</t>
  </si>
  <si>
    <t>Improved</t>
  </si>
  <si>
    <t>Pecans</t>
  </si>
  <si>
    <t>Soybeans</t>
  </si>
  <si>
    <t>Price</t>
  </si>
  <si>
    <t>Maximum</t>
  </si>
  <si>
    <t>Minimum</t>
  </si>
  <si>
    <t>for Grain</t>
  </si>
  <si>
    <t>25% Lower</t>
  </si>
  <si>
    <t>Pecan</t>
  </si>
  <si>
    <t>Output</t>
  </si>
  <si>
    <t>10% &lt; Average</t>
  </si>
  <si>
    <t>20% &lt; Average</t>
  </si>
  <si>
    <t>Enterprise</t>
  </si>
  <si>
    <t>Rotary Mow Orchard</t>
  </si>
  <si>
    <t>Cumulative PV of Net Income (soybeans &amp; Wheat)</t>
  </si>
  <si>
    <t>Yield in Pounds per Acre</t>
  </si>
  <si>
    <t>Maximum Acre</t>
  </si>
  <si>
    <t>Utilization</t>
  </si>
  <si>
    <t xml:space="preserve">Pieces of </t>
  </si>
  <si>
    <t>Equipment</t>
  </si>
  <si>
    <t>Total Cost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</si>
</sst>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0.0000000"/>
    <numFmt numFmtId="167" formatCode="[$$-409]#,##0"/>
    <numFmt numFmtId="168" formatCode="&quot;$&quot;?,???"/>
    <numFmt numFmtId="169" formatCode="?,???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sz val="12"/>
      <color theme="1"/>
      <name val="Arial Black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Arial Black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2"/>
      <color theme="1"/>
      <name val="Arial Black"/>
      <family val="2"/>
    </font>
    <font>
      <b/>
      <i/>
      <sz val="12"/>
      <color theme="1"/>
      <name val="Calibri"/>
      <family val="2"/>
      <scheme val="minor"/>
    </font>
    <font>
      <sz val="28"/>
      <color theme="1"/>
      <name val="Arial Black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1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6" xfId="0" applyBorder="1"/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49" fontId="0" fillId="2" borderId="0" xfId="0" applyNumberFormat="1" applyFill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5" xfId="0" applyFill="1" applyBorder="1" applyAlignment="1">
      <alignment horizontal="center"/>
    </xf>
    <xf numFmtId="9" fontId="0" fillId="2" borderId="5" xfId="2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5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3" xfId="0" applyFill="1" applyBorder="1" applyAlignment="1">
      <alignment horizontal="center"/>
    </xf>
    <xf numFmtId="49" fontId="5" fillId="2" borderId="1" xfId="0" applyNumberFormat="1" applyFont="1" applyFill="1" applyBorder="1"/>
    <xf numFmtId="0" fontId="0" fillId="2" borderId="4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4" fillId="2" borderId="0" xfId="0" applyFont="1" applyFill="1"/>
    <xf numFmtId="49" fontId="4" fillId="2" borderId="0" xfId="0" applyNumberFormat="1" applyFont="1" applyFill="1"/>
    <xf numFmtId="164" fontId="0" fillId="2" borderId="0" xfId="0" applyNumberFormat="1" applyFill="1" applyBorder="1" applyAlignment="1">
      <alignment horizontal="center"/>
    </xf>
    <xf numFmtId="0" fontId="0" fillId="2" borderId="2" xfId="0" applyFill="1" applyBorder="1"/>
    <xf numFmtId="0" fontId="5" fillId="2" borderId="0" xfId="0" applyFont="1" applyFill="1" applyBorder="1"/>
    <xf numFmtId="10" fontId="0" fillId="2" borderId="0" xfId="0" applyNumberFormat="1" applyFill="1"/>
    <xf numFmtId="0" fontId="6" fillId="2" borderId="1" xfId="0" applyFont="1" applyFill="1" applyBorder="1"/>
    <xf numFmtId="0" fontId="0" fillId="2" borderId="5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/>
    <xf numFmtId="0" fontId="4" fillId="2" borderId="2" xfId="0" applyFont="1" applyFill="1" applyBorder="1"/>
    <xf numFmtId="0" fontId="0" fillId="2" borderId="3" xfId="0" applyFill="1" applyBorder="1"/>
    <xf numFmtId="49" fontId="5" fillId="2" borderId="4" xfId="0" applyNumberFormat="1" applyFont="1" applyFill="1" applyBorder="1"/>
    <xf numFmtId="0" fontId="4" fillId="2" borderId="3" xfId="0" applyFont="1" applyFill="1" applyBorder="1"/>
    <xf numFmtId="49" fontId="0" fillId="2" borderId="3" xfId="0" applyNumberFormat="1" applyFill="1" applyBorder="1"/>
    <xf numFmtId="49" fontId="4" fillId="2" borderId="3" xfId="0" applyNumberFormat="1" applyFont="1" applyFill="1" applyBorder="1"/>
    <xf numFmtId="0" fontId="0" fillId="2" borderId="3" xfId="0" applyNumberFormat="1" applyFill="1" applyBorder="1" applyAlignment="1">
      <alignment horizontal="center"/>
    </xf>
    <xf numFmtId="9" fontId="0" fillId="2" borderId="3" xfId="0" applyNumberFormat="1" applyFill="1" applyBorder="1" applyAlignment="1">
      <alignment horizontal="center"/>
    </xf>
    <xf numFmtId="0" fontId="0" fillId="0" borderId="5" xfId="0" applyBorder="1"/>
    <xf numFmtId="0" fontId="0" fillId="2" borderId="9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0" xfId="0" applyFill="1" applyBorder="1"/>
    <xf numFmtId="0" fontId="7" fillId="2" borderId="0" xfId="0" applyFont="1" applyFill="1" applyAlignment="1">
      <alignment horizontal="left"/>
    </xf>
    <xf numFmtId="0" fontId="0" fillId="2" borderId="9" xfId="0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0" fillId="2" borderId="0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44" fontId="0" fillId="2" borderId="5" xfId="1" applyFont="1" applyFill="1" applyBorder="1"/>
    <xf numFmtId="2" fontId="0" fillId="2" borderId="0" xfId="0" applyNumberFormat="1" applyFill="1"/>
    <xf numFmtId="2" fontId="0" fillId="2" borderId="5" xfId="0" applyNumberFormat="1" applyFill="1" applyBorder="1" applyAlignment="1">
      <alignment horizontal="center"/>
    </xf>
    <xf numFmtId="2" fontId="0" fillId="2" borderId="0" xfId="0" applyNumberFormat="1" applyFill="1" applyBorder="1"/>
    <xf numFmtId="2" fontId="0" fillId="0" borderId="0" xfId="0" applyNumberFormat="1" applyBorder="1"/>
    <xf numFmtId="2" fontId="0" fillId="0" borderId="0" xfId="0" applyNumberFormat="1"/>
    <xf numFmtId="44" fontId="0" fillId="2" borderId="5" xfId="0" applyNumberFormat="1" applyFill="1" applyBorder="1"/>
    <xf numFmtId="0" fontId="0" fillId="2" borderId="1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8" fillId="0" borderId="0" xfId="0" applyFont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0" xfId="0" applyNumberFormat="1"/>
    <xf numFmtId="49" fontId="5" fillId="2" borderId="3" xfId="0" applyNumberFormat="1" applyFont="1" applyFill="1" applyBorder="1"/>
    <xf numFmtId="49" fontId="5" fillId="2" borderId="0" xfId="0" applyNumberFormat="1" applyFont="1" applyFill="1" applyBorder="1"/>
    <xf numFmtId="0" fontId="7" fillId="2" borderId="1" xfId="0" applyFont="1" applyFill="1" applyBorder="1"/>
    <xf numFmtId="0" fontId="7" fillId="2" borderId="0" xfId="0" applyFont="1" applyFill="1"/>
    <xf numFmtId="8" fontId="12" fillId="0" borderId="0" xfId="0" applyNumberFormat="1" applyFont="1" applyAlignment="1">
      <alignment horizontal="center" vertical="top" wrapText="1"/>
    </xf>
    <xf numFmtId="0" fontId="0" fillId="2" borderId="0" xfId="0" applyFont="1" applyFill="1"/>
    <xf numFmtId="8" fontId="12" fillId="2" borderId="0" xfId="0" applyNumberFormat="1" applyFont="1" applyFill="1" applyAlignment="1">
      <alignment horizontal="center" vertical="top" wrapText="1"/>
    </xf>
    <xf numFmtId="164" fontId="7" fillId="2" borderId="5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2" borderId="3" xfId="0" applyNumberFormat="1" applyFill="1" applyBorder="1"/>
    <xf numFmtId="0" fontId="0" fillId="2" borderId="3" xfId="0" applyNumberFormat="1" applyFill="1" applyBorder="1" applyAlignment="1">
      <alignment horizontal="left"/>
    </xf>
    <xf numFmtId="9" fontId="0" fillId="2" borderId="3" xfId="0" applyNumberFormat="1" applyFill="1" applyBorder="1" applyAlignment="1">
      <alignment horizontal="left"/>
    </xf>
    <xf numFmtId="49" fontId="4" fillId="2" borderId="4" xfId="0" applyNumberFormat="1" applyFont="1" applyFill="1" applyBorder="1"/>
    <xf numFmtId="49" fontId="0" fillId="2" borderId="1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3" xfId="0" applyFill="1" applyBorder="1"/>
    <xf numFmtId="49" fontId="4" fillId="2" borderId="14" xfId="0" applyNumberFormat="1" applyFont="1" applyFill="1" applyBorder="1"/>
    <xf numFmtId="49" fontId="14" fillId="2" borderId="4" xfId="0" applyNumberFormat="1" applyFont="1" applyFill="1" applyBorder="1"/>
    <xf numFmtId="0" fontId="0" fillId="2" borderId="6" xfId="0" applyFill="1" applyBorder="1"/>
    <xf numFmtId="0" fontId="0" fillId="2" borderId="7" xfId="0" applyNumberFormat="1" applyFill="1" applyBorder="1" applyAlignment="1">
      <alignment horizontal="center"/>
    </xf>
    <xf numFmtId="164" fontId="0" fillId="2" borderId="0" xfId="0" quotePrefix="1" applyNumberFormat="1" applyFill="1" applyAlignment="1">
      <alignment horizontal="center"/>
    </xf>
    <xf numFmtId="164" fontId="0" fillId="2" borderId="0" xfId="0" quotePrefix="1" applyNumberFormat="1" applyFill="1" applyBorder="1" applyAlignment="1">
      <alignment horizontal="center"/>
    </xf>
    <xf numFmtId="0" fontId="0" fillId="2" borderId="0" xfId="0" applyFont="1" applyFill="1" applyBorder="1"/>
    <xf numFmtId="2" fontId="13" fillId="2" borderId="0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164" fontId="0" fillId="2" borderId="16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164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2" fontId="0" fillId="2" borderId="0" xfId="0" applyNumberFormat="1" applyFill="1" applyAlignment="1">
      <alignment horizontal="right"/>
    </xf>
    <xf numFmtId="0" fontId="0" fillId="2" borderId="8" xfId="0" applyFill="1" applyBorder="1"/>
    <xf numFmtId="0" fontId="0" fillId="2" borderId="0" xfId="0" applyNumberFormat="1" applyFill="1"/>
    <xf numFmtId="0" fontId="15" fillId="2" borderId="0" xfId="0" applyFont="1" applyFill="1" applyAlignment="1">
      <alignment horizontal="center"/>
    </xf>
    <xf numFmtId="0" fontId="0" fillId="2" borderId="17" xfId="0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65" fontId="0" fillId="2" borderId="0" xfId="2" applyNumberFormat="1" applyFont="1" applyFill="1" applyBorder="1" applyAlignment="1">
      <alignment horizontal="center"/>
    </xf>
    <xf numFmtId="0" fontId="0" fillId="2" borderId="12" xfId="0" applyFill="1" applyBorder="1"/>
    <xf numFmtId="2" fontId="0" fillId="2" borderId="7" xfId="0" applyNumberForma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7" fillId="2" borderId="12" xfId="0" applyFont="1" applyFill="1" applyBorder="1" applyAlignment="1">
      <alignment horizontal="center"/>
    </xf>
    <xf numFmtId="0" fontId="7" fillId="2" borderId="18" xfId="0" applyFont="1" applyFill="1" applyBorder="1"/>
    <xf numFmtId="0" fontId="7" fillId="2" borderId="0" xfId="0" applyFont="1" applyFill="1" applyBorder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0" fillId="2" borderId="17" xfId="0" applyFill="1" applyBorder="1"/>
    <xf numFmtId="0" fontId="16" fillId="2" borderId="1" xfId="0" applyFont="1" applyFill="1" applyBorder="1"/>
    <xf numFmtId="49" fontId="16" fillId="2" borderId="4" xfId="0" applyNumberFormat="1" applyFont="1" applyFill="1" applyBorder="1"/>
    <xf numFmtId="8" fontId="0" fillId="2" borderId="0" xfId="0" applyNumberFormat="1" applyFill="1" applyBorder="1" applyAlignment="1">
      <alignment horizontal="right"/>
    </xf>
    <xf numFmtId="164" fontId="0" fillId="3" borderId="0" xfId="0" applyNumberFormat="1" applyFill="1"/>
    <xf numFmtId="0" fontId="0" fillId="3" borderId="16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166" fontId="0" fillId="2" borderId="0" xfId="0" applyNumberFormat="1" applyFill="1"/>
    <xf numFmtId="0" fontId="0" fillId="0" borderId="19" xfId="0" applyBorder="1"/>
    <xf numFmtId="0" fontId="0" fillId="0" borderId="20" xfId="0" applyBorder="1"/>
    <xf numFmtId="0" fontId="18" fillId="0" borderId="0" xfId="0" applyFont="1"/>
    <xf numFmtId="0" fontId="18" fillId="0" borderId="20" xfId="0" applyFont="1" applyBorder="1"/>
    <xf numFmtId="0" fontId="18" fillId="0" borderId="0" xfId="0" applyFont="1" applyBorder="1"/>
    <xf numFmtId="0" fontId="18" fillId="0" borderId="0" xfId="0" applyFont="1" applyFill="1"/>
    <xf numFmtId="0" fontId="0" fillId="0" borderId="0" xfId="0" applyFill="1"/>
    <xf numFmtId="0" fontId="19" fillId="0" borderId="0" xfId="0" applyFont="1" applyBorder="1"/>
    <xf numFmtId="0" fontId="19" fillId="0" borderId="0" xfId="0" applyFont="1" applyBorder="1" applyAlignment="1">
      <alignment horizontal="left"/>
    </xf>
    <xf numFmtId="0" fontId="18" fillId="0" borderId="21" xfId="0" applyFont="1" applyBorder="1"/>
    <xf numFmtId="0" fontId="19" fillId="0" borderId="21" xfId="0" applyFont="1" applyBorder="1" applyAlignment="1">
      <alignment horizontal="left"/>
    </xf>
    <xf numFmtId="0" fontId="19" fillId="0" borderId="21" xfId="0" applyFont="1" applyBorder="1"/>
    <xf numFmtId="0" fontId="18" fillId="0" borderId="22" xfId="0" applyFont="1" applyBorder="1"/>
    <xf numFmtId="1" fontId="0" fillId="0" borderId="0" xfId="0" applyNumberFormat="1"/>
    <xf numFmtId="0" fontId="0" fillId="0" borderId="23" xfId="0" applyBorder="1"/>
    <xf numFmtId="0" fontId="0" fillId="0" borderId="24" xfId="0" applyBorder="1"/>
    <xf numFmtId="44" fontId="0" fillId="0" borderId="0" xfId="1" applyFont="1"/>
    <xf numFmtId="44" fontId="0" fillId="0" borderId="20" xfId="1" applyFont="1" applyBorder="1"/>
    <xf numFmtId="44" fontId="0" fillId="0" borderId="0" xfId="1" applyFont="1" applyFill="1" applyBorder="1"/>
    <xf numFmtId="44" fontId="0" fillId="0" borderId="20" xfId="1" applyFont="1" applyFill="1" applyBorder="1"/>
    <xf numFmtId="164" fontId="0" fillId="2" borderId="7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0" fontId="18" fillId="2" borderId="21" xfId="0" applyFont="1" applyFill="1" applyBorder="1" applyAlignment="1"/>
    <xf numFmtId="0" fontId="18" fillId="2" borderId="0" xfId="0" applyFont="1" applyFill="1" applyAlignment="1">
      <alignment horizontal="center"/>
    </xf>
    <xf numFmtId="169" fontId="18" fillId="2" borderId="0" xfId="0" applyNumberFormat="1" applyFont="1" applyFill="1" applyBorder="1" applyAlignment="1">
      <alignment horizontal="center"/>
    </xf>
    <xf numFmtId="0" fontId="18" fillId="2" borderId="20" xfId="0" applyFont="1" applyFill="1" applyBorder="1" applyAlignment="1">
      <alignment horizontal="center"/>
    </xf>
    <xf numFmtId="169" fontId="18" fillId="2" borderId="20" xfId="0" applyNumberFormat="1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164" fontId="18" fillId="2" borderId="0" xfId="1" applyNumberFormat="1" applyFont="1" applyFill="1" applyAlignment="1">
      <alignment horizontal="center"/>
    </xf>
    <xf numFmtId="164" fontId="18" fillId="2" borderId="20" xfId="1" applyNumberFormat="1" applyFont="1" applyFill="1" applyBorder="1" applyAlignment="1">
      <alignment horizontal="center"/>
    </xf>
    <xf numFmtId="0" fontId="18" fillId="2" borderId="24" xfId="0" applyFont="1" applyFill="1" applyBorder="1"/>
    <xf numFmtId="0" fontId="18" fillId="2" borderId="19" xfId="0" applyFont="1" applyFill="1" applyBorder="1"/>
    <xf numFmtId="0" fontId="18" fillId="2" borderId="22" xfId="0" applyFont="1" applyFill="1" applyBorder="1" applyAlignment="1">
      <alignment horizontal="center"/>
    </xf>
    <xf numFmtId="168" fontId="18" fillId="2" borderId="0" xfId="1" applyNumberFormat="1" applyFont="1" applyFill="1" applyAlignment="1">
      <alignment horizontal="center"/>
    </xf>
    <xf numFmtId="167" fontId="18" fillId="2" borderId="0" xfId="0" applyNumberFormat="1" applyFont="1" applyFill="1"/>
    <xf numFmtId="0" fontId="18" fillId="2" borderId="0" xfId="0" applyFont="1" applyFill="1" applyBorder="1" applyAlignment="1">
      <alignment horizontal="center"/>
    </xf>
    <xf numFmtId="168" fontId="18" fillId="2" borderId="0" xfId="1" applyNumberFormat="1" applyFont="1" applyFill="1" applyBorder="1" applyAlignment="1">
      <alignment horizontal="center"/>
    </xf>
    <xf numFmtId="168" fontId="18" fillId="2" borderId="20" xfId="1" applyNumberFormat="1" applyFont="1" applyFill="1" applyBorder="1" applyAlignment="1">
      <alignment horizontal="center"/>
    </xf>
    <xf numFmtId="167" fontId="18" fillId="2" borderId="20" xfId="0" applyNumberFormat="1" applyFont="1" applyFill="1" applyBorder="1"/>
    <xf numFmtId="0" fontId="19" fillId="2" borderId="21" xfId="0" applyFont="1" applyFill="1" applyBorder="1" applyAlignment="1">
      <alignment horizontal="center"/>
    </xf>
    <xf numFmtId="0" fontId="19" fillId="2" borderId="21" xfId="0" applyFont="1" applyFill="1" applyBorder="1" applyAlignment="1"/>
    <xf numFmtId="0" fontId="0" fillId="2" borderId="20" xfId="0" applyFill="1" applyBorder="1"/>
    <xf numFmtId="0" fontId="0" fillId="2" borderId="21" xfId="0" applyFill="1" applyBorder="1"/>
    <xf numFmtId="165" fontId="7" fillId="3" borderId="5" xfId="2" applyNumberFormat="1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horizontal="center"/>
      <protection locked="0"/>
    </xf>
    <xf numFmtId="164" fontId="7" fillId="3" borderId="5" xfId="0" applyNumberFormat="1" applyFont="1" applyFill="1" applyBorder="1" applyAlignment="1" applyProtection="1">
      <alignment horizontal="center"/>
      <protection locked="0"/>
    </xf>
    <xf numFmtId="164" fontId="7" fillId="3" borderId="5" xfId="1" applyNumberFormat="1" applyFont="1" applyFill="1" applyBorder="1" applyAlignment="1" applyProtection="1">
      <alignment horizontal="center"/>
      <protection locked="0"/>
    </xf>
    <xf numFmtId="9" fontId="7" fillId="3" borderId="5" xfId="2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164" fontId="0" fillId="3" borderId="0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164" fontId="0" fillId="3" borderId="0" xfId="0" applyNumberFormat="1" applyFill="1" applyProtection="1"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164" fontId="0" fillId="3" borderId="11" xfId="0" applyNumberFormat="1" applyFill="1" applyBorder="1" applyAlignment="1" applyProtection="1">
      <alignment horizontal="center"/>
      <protection locked="0"/>
    </xf>
    <xf numFmtId="164" fontId="0" fillId="3" borderId="7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4" fontId="0" fillId="4" borderId="0" xfId="1" applyFont="1" applyFill="1" applyProtection="1">
      <protection locked="0"/>
    </xf>
    <xf numFmtId="44" fontId="0" fillId="4" borderId="20" xfId="1" applyFont="1" applyFill="1" applyBorder="1" applyProtection="1">
      <protection locked="0"/>
    </xf>
    <xf numFmtId="0" fontId="17" fillId="2" borderId="0" xfId="0" applyFont="1" applyFill="1" applyAlignment="1">
      <alignment horizontal="center" vertical="center"/>
    </xf>
    <xf numFmtId="0" fontId="19" fillId="2" borderId="21" xfId="0" applyFont="1" applyFill="1" applyBorder="1" applyAlignment="1">
      <alignment horizontal="center"/>
    </xf>
    <xf numFmtId="0" fontId="18" fillId="2" borderId="2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7">
    <cellStyle name="Comma 2" xfId="4"/>
    <cellStyle name="Currency" xfId="1" builtinId="4"/>
    <cellStyle name="Currency 2" xfId="5"/>
    <cellStyle name="Normal" xfId="0" builtinId="0"/>
    <cellStyle name="Normal 2" xfId="3"/>
    <cellStyle name="Percent" xfId="2" builtinId="5"/>
    <cellStyle name="Percent 2" xfId="6"/>
  </cellStyles>
  <dxfs count="1">
    <dxf>
      <font>
        <b/>
        <i val="0"/>
      </font>
      <fill>
        <patternFill>
          <bgColor rgb="FF00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CA302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chartsheet" Target="chartsheets/sheet1.xml"/><Relationship Id="rId7" Type="http://schemas.openxmlformats.org/officeDocument/2006/relationships/chartsheet" Target="chartsheets/sheet2.xml"/><Relationship Id="rId8" Type="http://schemas.openxmlformats.org/officeDocument/2006/relationships/chartsheet" Target="chartsheets/sheet3.xml"/><Relationship Id="rId9" Type="http://schemas.openxmlformats.org/officeDocument/2006/relationships/chartsheet" Target="chartsheets/sheet4.xml"/><Relationship Id="rId10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Profit/Loss</a:t>
            </a:r>
            <a:r>
              <a:rPr lang="en-US" baseline="0"/>
              <a:t> for Improved Irrigated Pecans</a:t>
            </a:r>
          </a:p>
          <a:p>
            <a:pPr>
              <a:defRPr/>
            </a:pPr>
            <a:r>
              <a:rPr lang="en-US" baseline="0"/>
              <a:t>Per Acre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'Budget Display'!$A$88</c:f>
              <c:strCache>
                <c:ptCount val="1"/>
                <c:pt idx="0">
                  <c:v>Cumulative Net Income</c:v>
                </c:pt>
              </c:strCache>
            </c:strRef>
          </c:tx>
          <c:cat>
            <c:numRef>
              <c:f>'Budget Display'!$G$11:$Z$11</c:f>
              <c:numCache>
                <c:formatCode>General</c:formatCode>
                <c:ptCount val="2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</c:numCache>
            </c:numRef>
          </c:cat>
          <c:val>
            <c:numRef>
              <c:f>'Budget Display'!$G$88:$Z$88</c:f>
              <c:numCache>
                <c:formatCode>"$"#,##0.00</c:formatCode>
                <c:ptCount val="20"/>
                <c:pt idx="0">
                  <c:v>-1570.03219</c:v>
                </c:pt>
                <c:pt idx="1">
                  <c:v>-2327.0901973</c:v>
                </c:pt>
                <c:pt idx="2">
                  <c:v>-2987.041194746</c:v>
                </c:pt>
                <c:pt idx="3">
                  <c:v>-3628.75924214092</c:v>
                </c:pt>
                <c:pt idx="4">
                  <c:v>-4682.86780457129</c:v>
                </c:pt>
                <c:pt idx="5">
                  <c:v>-5283.220215264766</c:v>
                </c:pt>
                <c:pt idx="6">
                  <c:v>-5643.623769417325</c:v>
                </c:pt>
                <c:pt idx="7">
                  <c:v>-5783.101716652934</c:v>
                </c:pt>
                <c:pt idx="8">
                  <c:v>-5700.033535833256</c:v>
                </c:pt>
                <c:pt idx="9">
                  <c:v>-5646.159895397183</c:v>
                </c:pt>
                <c:pt idx="10">
                  <c:v>-4778.346644294617</c:v>
                </c:pt>
                <c:pt idx="11">
                  <c:v>-3328.552678064762</c:v>
                </c:pt>
                <c:pt idx="12">
                  <c:v>-1198.284209510309</c:v>
                </c:pt>
                <c:pt idx="13">
                  <c:v>268.3889604152323</c:v>
                </c:pt>
                <c:pt idx="14">
                  <c:v>2421.024634739284</c:v>
                </c:pt>
                <c:pt idx="15">
                  <c:v>4138.066529065643</c:v>
                </c:pt>
                <c:pt idx="16">
                  <c:v>6533.220797032387</c:v>
                </c:pt>
                <c:pt idx="17">
                  <c:v>8152.521770358466</c:v>
                </c:pt>
                <c:pt idx="18">
                  <c:v>10539.89238315107</c:v>
                </c:pt>
                <c:pt idx="19">
                  <c:v>12001.25402819952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'Budget Display'!$A$85</c:f>
              <c:strCache>
                <c:ptCount val="1"/>
                <c:pt idx="0">
                  <c:v>Present Value of Net Income</c:v>
                </c:pt>
              </c:strCache>
            </c:strRef>
          </c:tx>
          <c:cat>
            <c:numRef>
              <c:f>'Budget Display'!$G$11:$Z$11</c:f>
              <c:numCache>
                <c:formatCode>General</c:formatCode>
                <c:ptCount val="2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</c:numCache>
            </c:numRef>
          </c:cat>
          <c:val>
            <c:numRef>
              <c:f>'Budget Display'!$G$85:$Z$85</c:f>
              <c:numCache>
                <c:formatCode>"$"#,##0.00</c:formatCode>
                <c:ptCount val="20"/>
                <c:pt idx="0">
                  <c:v>-1474.208629107981</c:v>
                </c:pt>
                <c:pt idx="1">
                  <c:v>-667.4672197315347</c:v>
                </c:pt>
                <c:pt idx="2">
                  <c:v>-546.3398338701417</c:v>
                </c:pt>
                <c:pt idx="3">
                  <c:v>-498.822256084006</c:v>
                </c:pt>
                <c:pt idx="4">
                  <c:v>-769.3736393305804</c:v>
                </c:pt>
                <c:pt idx="5">
                  <c:v>-411.4419903514799</c:v>
                </c:pt>
                <c:pt idx="6">
                  <c:v>-231.9219269457068</c:v>
                </c:pt>
                <c:pt idx="7">
                  <c:v>-84.27692570752025</c:v>
                </c:pt>
                <c:pt idx="8">
                  <c:v>47.12900051795802</c:v>
                </c:pt>
                <c:pt idx="9">
                  <c:v>28.69989088856724</c:v>
                </c:pt>
                <c:pt idx="10">
                  <c:v>434.0908101709402</c:v>
                </c:pt>
                <c:pt idx="11">
                  <c:v>680.9433683362777</c:v>
                </c:pt>
                <c:pt idx="12">
                  <c:v>939.4841079133597</c:v>
                </c:pt>
                <c:pt idx="13">
                  <c:v>607.349724179857</c:v>
                </c:pt>
                <c:pt idx="14">
                  <c:v>837.0018476377464</c:v>
                </c:pt>
                <c:pt idx="15">
                  <c:v>626.883973795865</c:v>
                </c:pt>
                <c:pt idx="16">
                  <c:v>821.0888576044862</c:v>
                </c:pt>
                <c:pt idx="17">
                  <c:v>521.2362804320389</c:v>
                </c:pt>
                <c:pt idx="18">
                  <c:v>721.5680514897648</c:v>
                </c:pt>
                <c:pt idx="19">
                  <c:v>414.7300930444695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'Budget Display'!$A$89</c:f>
              <c:strCache>
                <c:ptCount val="1"/>
                <c:pt idx="0">
                  <c:v>Cumulative PV of Net Income</c:v>
                </c:pt>
              </c:strCache>
            </c:strRef>
          </c:tx>
          <c:val>
            <c:numRef>
              <c:f>'Budget Display'!$G$89:$Z$89</c:f>
              <c:numCache>
                <c:formatCode>"$"#,##0.00</c:formatCode>
                <c:ptCount val="20"/>
                <c:pt idx="0">
                  <c:v>-1474.208629107981</c:v>
                </c:pt>
                <c:pt idx="1">
                  <c:v>-2141.675848839516</c:v>
                </c:pt>
                <c:pt idx="2">
                  <c:v>-2688.015682709658</c:v>
                </c:pt>
                <c:pt idx="3">
                  <c:v>-3186.837938793663</c:v>
                </c:pt>
                <c:pt idx="4">
                  <c:v>-3956.211578124244</c:v>
                </c:pt>
                <c:pt idx="5">
                  <c:v>-4367.653568475723</c:v>
                </c:pt>
                <c:pt idx="6">
                  <c:v>-4599.575495421431</c:v>
                </c:pt>
                <c:pt idx="7">
                  <c:v>-4683.85242112895</c:v>
                </c:pt>
                <c:pt idx="8">
                  <c:v>-4636.723420610993</c:v>
                </c:pt>
                <c:pt idx="9">
                  <c:v>-4608.023529722426</c:v>
                </c:pt>
                <c:pt idx="10">
                  <c:v>-4173.932719551486</c:v>
                </c:pt>
                <c:pt idx="11">
                  <c:v>-3492.989351215208</c:v>
                </c:pt>
                <c:pt idx="12">
                  <c:v>-2553.505243301849</c:v>
                </c:pt>
                <c:pt idx="13">
                  <c:v>-1946.155519121992</c:v>
                </c:pt>
                <c:pt idx="14">
                  <c:v>-1109.153671484245</c:v>
                </c:pt>
                <c:pt idx="15">
                  <c:v>-482.2696976883801</c:v>
                </c:pt>
                <c:pt idx="16">
                  <c:v>338.8191599161062</c:v>
                </c:pt>
                <c:pt idx="17">
                  <c:v>860.055440348145</c:v>
                </c:pt>
                <c:pt idx="18">
                  <c:v>1581.62349183791</c:v>
                </c:pt>
                <c:pt idx="19">
                  <c:v>1996.353584882379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'Budget Display'!$A$83</c:f>
              <c:strCache>
                <c:ptCount val="1"/>
                <c:pt idx="0">
                  <c:v>Net Income</c:v>
                </c:pt>
              </c:strCache>
            </c:strRef>
          </c:tx>
          <c:spPr>
            <a:ln>
              <a:round/>
            </a:ln>
          </c:spPr>
          <c:val>
            <c:numRef>
              <c:f>'Budget Display'!$G$83:$Z$83</c:f>
              <c:numCache>
                <c:formatCode>"$"#,##0.00</c:formatCode>
                <c:ptCount val="20"/>
                <c:pt idx="0">
                  <c:v>-1570.03219</c:v>
                </c:pt>
                <c:pt idx="1">
                  <c:v>-757.0580072999999</c:v>
                </c:pt>
                <c:pt idx="2">
                  <c:v>-659.950997446</c:v>
                </c:pt>
                <c:pt idx="3">
                  <c:v>-641.7180473949201</c:v>
                </c:pt>
                <c:pt idx="4">
                  <c:v>-1054.108562430371</c:v>
                </c:pt>
                <c:pt idx="5">
                  <c:v>-600.3524106934759</c:v>
                </c:pt>
                <c:pt idx="6">
                  <c:v>-360.4035541525579</c:v>
                </c:pt>
                <c:pt idx="7">
                  <c:v>-139.477947235609</c:v>
                </c:pt>
                <c:pt idx="8">
                  <c:v>83.0681808196789</c:v>
                </c:pt>
                <c:pt idx="9">
                  <c:v>53.87364043607226</c:v>
                </c:pt>
                <c:pt idx="10">
                  <c:v>867.813251102566</c:v>
                </c:pt>
                <c:pt idx="11">
                  <c:v>1449.793966229855</c:v>
                </c:pt>
                <c:pt idx="12">
                  <c:v>2130.268468554453</c:v>
                </c:pt>
                <c:pt idx="13">
                  <c:v>1466.673169925542</c:v>
                </c:pt>
                <c:pt idx="14">
                  <c:v>2152.635674324052</c:v>
                </c:pt>
                <c:pt idx="15">
                  <c:v>1717.041894326358</c:v>
                </c:pt>
                <c:pt idx="16">
                  <c:v>2395.154267966744</c:v>
                </c:pt>
                <c:pt idx="17">
                  <c:v>1619.300973326079</c:v>
                </c:pt>
                <c:pt idx="18">
                  <c:v>2387.370612792601</c:v>
                </c:pt>
                <c:pt idx="19">
                  <c:v>1461.361645048453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6730456"/>
        <c:axId val="-2121328616"/>
      </c:lineChart>
      <c:catAx>
        <c:axId val="-2106730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2121328616"/>
        <c:crosses val="autoZero"/>
        <c:auto val="1"/>
        <c:lblAlgn val="ctr"/>
        <c:lblOffset val="100"/>
        <c:noMultiLvlLbl val="0"/>
      </c:catAx>
      <c:valAx>
        <c:axId val="-2121328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Profit in $/Acre</a:t>
                </a:r>
              </a:p>
            </c:rich>
          </c:tx>
          <c:overlay val="0"/>
        </c:title>
        <c:numFmt formatCode="&quot;$&quot;#,##0.00" sourceLinked="1"/>
        <c:majorTickMark val="none"/>
        <c:minorTickMark val="none"/>
        <c:tickLblPos val="nextTo"/>
        <c:crossAx val="-2106730456"/>
        <c:crosses val="autoZero"/>
        <c:crossBetween val="between"/>
        <c:majorUnit val="2000.0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Net Present Value of Irrigated Improved Pecan Orchard per Acre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NPV /Acre</c:v>
          </c:tx>
          <c:invertIfNegative val="0"/>
          <c:cat>
            <c:numRef>
              <c:f>'Budget Display'!$D$112:$D$118</c:f>
              <c:numCache>
                <c:formatCode>General</c:formatCode>
                <c:ptCount val="7"/>
                <c:pt idx="0">
                  <c:v>25.0</c:v>
                </c:pt>
                <c:pt idx="1">
                  <c:v>50.0</c:v>
                </c:pt>
                <c:pt idx="2">
                  <c:v>75.0</c:v>
                </c:pt>
                <c:pt idx="3">
                  <c:v>100.0</c:v>
                </c:pt>
                <c:pt idx="4">
                  <c:v>125.0</c:v>
                </c:pt>
                <c:pt idx="5">
                  <c:v>150.0</c:v>
                </c:pt>
                <c:pt idx="6">
                  <c:v>175.0</c:v>
                </c:pt>
              </c:numCache>
            </c:numRef>
          </c:cat>
          <c:val>
            <c:numRef>
              <c:f>'Budget Display'!$E$112:$E$118</c:f>
              <c:numCache>
                <c:formatCode>General</c:formatCode>
                <c:ptCount val="7"/>
                <c:pt idx="0">
                  <c:v>-2421.5</c:v>
                </c:pt>
                <c:pt idx="1">
                  <c:v>626.91</c:v>
                </c:pt>
                <c:pt idx="2">
                  <c:v>1643.04</c:v>
                </c:pt>
                <c:pt idx="3">
                  <c:v>2433.39</c:v>
                </c:pt>
                <c:pt idx="4">
                  <c:v>1861.35</c:v>
                </c:pt>
                <c:pt idx="5">
                  <c:v>2067.64</c:v>
                </c:pt>
                <c:pt idx="6">
                  <c:v>2214.99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6961080"/>
        <c:axId val="-2106955352"/>
      </c:barChart>
      <c:catAx>
        <c:axId val="-2106961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Orchard Size (Acres)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-2106955352"/>
        <c:crosses val="autoZero"/>
        <c:auto val="1"/>
        <c:lblAlgn val="ctr"/>
        <c:lblOffset val="100"/>
        <c:noMultiLvlLbl val="0"/>
      </c:catAx>
      <c:valAx>
        <c:axId val="-21069553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$/Acre</a:t>
                </a:r>
              </a:p>
            </c:rich>
          </c:tx>
          <c:overlay val="0"/>
        </c:title>
        <c:numFmt formatCode="&quot;$&quot;#,##0_);[Red]\(&quot;$&quot;#,##0\)" sourceLinked="0"/>
        <c:majorTickMark val="out"/>
        <c:minorTickMark val="cross"/>
        <c:tickLblPos val="nextTo"/>
        <c:crossAx val="-21069610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 baseline="0"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Net</a:t>
            </a:r>
            <a:r>
              <a:rPr lang="en-US" baseline="0"/>
              <a:t> Present Value of Pecan Orchards per Tree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NPV/Tree</c:v>
          </c:tx>
          <c:spPr>
            <a:solidFill>
              <a:schemeClr val="accent6"/>
            </a:solidFill>
          </c:spPr>
          <c:invertIfNegative val="0"/>
          <c:cat>
            <c:strRef>
              <c:f>'NPV Sizes'!$A$53:$A$59</c:f>
              <c:strCache>
                <c:ptCount val="7"/>
                <c:pt idx="0">
                  <c:v>20 Acres</c:v>
                </c:pt>
                <c:pt idx="1">
                  <c:v>45 Acres</c:v>
                </c:pt>
                <c:pt idx="2">
                  <c:v>55 Acres</c:v>
                </c:pt>
                <c:pt idx="3">
                  <c:v>75 Acres</c:v>
                </c:pt>
                <c:pt idx="4">
                  <c:v>100 Acres</c:v>
                </c:pt>
                <c:pt idx="5">
                  <c:v>150 Acres</c:v>
                </c:pt>
                <c:pt idx="6">
                  <c:v>200 Acres</c:v>
                </c:pt>
              </c:strCache>
            </c:strRef>
          </c:cat>
          <c:val>
            <c:numRef>
              <c:f>'NPV Sizes'!$C$53:$C$59</c:f>
              <c:numCache>
                <c:formatCode>"$"#,##0.00</c:formatCode>
                <c:ptCount val="7"/>
                <c:pt idx="0">
                  <c:v>-179.5477006722866</c:v>
                </c:pt>
                <c:pt idx="1">
                  <c:v>-43.89248993908914</c:v>
                </c:pt>
                <c:pt idx="2">
                  <c:v>-17.11686108112714</c:v>
                </c:pt>
                <c:pt idx="3">
                  <c:v>15.01389354842722</c:v>
                </c:pt>
                <c:pt idx="4">
                  <c:v>49.37680301592655</c:v>
                </c:pt>
                <c:pt idx="5">
                  <c:v>33.47471219441811</c:v>
                </c:pt>
                <c:pt idx="6">
                  <c:v>44.68628808342523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2682056"/>
        <c:axId val="-2106682632"/>
      </c:barChart>
      <c:catAx>
        <c:axId val="2082682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/>
                  <a:t>Size</a:t>
                </a:r>
                <a:r>
                  <a:rPr lang="en-US" sz="1600" baseline="0"/>
                  <a:t> of Orchard</a:t>
                </a:r>
                <a:endParaRPr lang="en-US" sz="1600"/>
              </a:p>
            </c:rich>
          </c:tx>
          <c:overlay val="0"/>
        </c:title>
        <c:majorTickMark val="out"/>
        <c:minorTickMark val="none"/>
        <c:tickLblPos val="nextTo"/>
        <c:crossAx val="-2106682632"/>
        <c:crosses val="autoZero"/>
        <c:auto val="1"/>
        <c:lblAlgn val="ctr"/>
        <c:lblOffset val="100"/>
        <c:noMultiLvlLbl val="0"/>
      </c:catAx>
      <c:valAx>
        <c:axId val="-2106682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600"/>
                  <a:t>$/Tree</a:t>
                </a:r>
              </a:p>
            </c:rich>
          </c:tx>
          <c:overlay val="0"/>
        </c:title>
        <c:numFmt formatCode="&quot;$&quot;#,##0.00" sourceLinked="1"/>
        <c:majorTickMark val="out"/>
        <c:minorTickMark val="none"/>
        <c:tickLblPos val="nextTo"/>
        <c:crossAx val="2082682056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1"/>
    <c:plotArea>
      <c:layout>
        <c:manualLayout>
          <c:layoutTarget val="inner"/>
          <c:xMode val="edge"/>
          <c:yMode val="edge"/>
          <c:x val="0.111098116396961"/>
          <c:y val="0.0143336745053602"/>
          <c:w val="0.878648362112397"/>
          <c:h val="0.906585764243614"/>
        </c:manualLayout>
      </c:layout>
      <c:lineChart>
        <c:grouping val="standard"/>
        <c:varyColors val="0"/>
        <c:ser>
          <c:idx val="0"/>
          <c:order val="0"/>
          <c:tx>
            <c:v>Improved Pecans</c:v>
          </c:tx>
          <c:val>
            <c:numRef>
              <c:f>'Budget Display'!$G$89:$Z$89</c:f>
              <c:numCache>
                <c:formatCode>"$"#,##0.00</c:formatCode>
                <c:ptCount val="20"/>
                <c:pt idx="0">
                  <c:v>-1474.208629107981</c:v>
                </c:pt>
                <c:pt idx="1">
                  <c:v>-2141.675848839516</c:v>
                </c:pt>
                <c:pt idx="2">
                  <c:v>-2688.015682709658</c:v>
                </c:pt>
                <c:pt idx="3">
                  <c:v>-3186.837938793663</c:v>
                </c:pt>
                <c:pt idx="4">
                  <c:v>-3956.211578124244</c:v>
                </c:pt>
                <c:pt idx="5">
                  <c:v>-4367.653568475723</c:v>
                </c:pt>
                <c:pt idx="6">
                  <c:v>-4599.575495421431</c:v>
                </c:pt>
                <c:pt idx="7">
                  <c:v>-4683.85242112895</c:v>
                </c:pt>
                <c:pt idx="8">
                  <c:v>-4636.723420610993</c:v>
                </c:pt>
                <c:pt idx="9">
                  <c:v>-4608.023529722426</c:v>
                </c:pt>
                <c:pt idx="10">
                  <c:v>-4173.932719551486</c:v>
                </c:pt>
                <c:pt idx="11">
                  <c:v>-3492.989351215208</c:v>
                </c:pt>
                <c:pt idx="12">
                  <c:v>-2553.505243301849</c:v>
                </c:pt>
                <c:pt idx="13">
                  <c:v>-1946.155519121992</c:v>
                </c:pt>
                <c:pt idx="14">
                  <c:v>-1109.153671484245</c:v>
                </c:pt>
                <c:pt idx="15">
                  <c:v>-482.2696976883801</c:v>
                </c:pt>
                <c:pt idx="16">
                  <c:v>338.8191599161062</c:v>
                </c:pt>
                <c:pt idx="17">
                  <c:v>860.055440348145</c:v>
                </c:pt>
                <c:pt idx="18">
                  <c:v>1581.62349183791</c:v>
                </c:pt>
                <c:pt idx="19">
                  <c:v>1996.353584882379</c:v>
                </c:pt>
              </c:numCache>
            </c:numRef>
          </c:val>
          <c:smooth val="0"/>
        </c:ser>
        <c:ser>
          <c:idx val="1"/>
          <c:order val="1"/>
          <c:tx>
            <c:v>soybeans</c:v>
          </c:tx>
          <c:val>
            <c:numRef>
              <c:f>'Budget Display'!$G$103:$Z$103</c:f>
              <c:numCache>
                <c:formatCode>General</c:formatCode>
                <c:ptCount val="20"/>
                <c:pt idx="0">
                  <c:v>164.5164319248826</c:v>
                </c:pt>
                <c:pt idx="1">
                  <c:v>308.9510458683242</c:v>
                </c:pt>
                <c:pt idx="2">
                  <c:v>435.1423181244003</c:v>
                </c:pt>
                <c:pt idx="3">
                  <c:v>544.7791150227235</c:v>
                </c:pt>
                <c:pt idx="4">
                  <c:v>639.4121068341826</c:v>
                </c:pt>
                <c:pt idx="5">
                  <c:v>720.4643457286564</c:v>
                </c:pt>
                <c:pt idx="6">
                  <c:v>789.2410673083874</c:v>
                </c:pt>
                <c:pt idx="7">
                  <c:v>846.938771088813</c:v>
                </c:pt>
                <c:pt idx="8">
                  <c:v>894.6536314318447</c:v>
                </c:pt>
                <c:pt idx="9">
                  <c:v>933.3892868355188</c:v>
                </c:pt>
                <c:pt idx="10">
                  <c:v>964.064052130583</c:v>
                </c:pt>
                <c:pt idx="11">
                  <c:v>987.5175950121209</c:v>
                </c:pt>
                <c:pt idx="12">
                  <c:v>1004.51711542704</c:v>
                </c:pt>
                <c:pt idx="13">
                  <c:v>1015.763063631532</c:v>
                </c:pt>
                <c:pt idx="14">
                  <c:v>1021.89443021281</c:v>
                </c:pt>
                <c:pt idx="15">
                  <c:v>1023.493639023784</c:v>
                </c:pt>
                <c:pt idx="16">
                  <c:v>1021.091071796029</c:v>
                </c:pt>
                <c:pt idx="17">
                  <c:v>1015.169251164237</c:v>
                </c:pt>
                <c:pt idx="18">
                  <c:v>1006.16670694421</c:v>
                </c:pt>
                <c:pt idx="19">
                  <c:v>994.4815487464397</c:v>
                </c:pt>
              </c:numCache>
            </c:numRef>
          </c:val>
          <c:smooth val="0"/>
        </c:ser>
        <c:ser>
          <c:idx val="3"/>
          <c:order val="2"/>
          <c:tx>
            <c:v>Wheat for Grain</c:v>
          </c:tx>
          <c:val>
            <c:numRef>
              <c:f>'Budget Display'!$G$101:$Z$101</c:f>
              <c:numCache>
                <c:formatCode>General</c:formatCode>
                <c:ptCount val="20"/>
                <c:pt idx="0">
                  <c:v>33.48356807511737</c:v>
                </c:pt>
                <c:pt idx="1">
                  <c:v>62.87994004716877</c:v>
                </c:pt>
                <c:pt idx="2">
                  <c:v>88.5632958410828</c:v>
                </c:pt>
                <c:pt idx="3">
                  <c:v>110.8773656852367</c:v>
                </c:pt>
                <c:pt idx="4">
                  <c:v>130.1377531516862</c:v>
                </c:pt>
                <c:pt idx="5">
                  <c:v>146.634088058238</c:v>
                </c:pt>
                <c:pt idx="6">
                  <c:v>160.6320213470526</c:v>
                </c:pt>
                <c:pt idx="7">
                  <c:v>172.3750732094462</c:v>
                </c:pt>
                <c:pt idx="8">
                  <c:v>182.0863449395558</c:v>
                </c:pt>
                <c:pt idx="9">
                  <c:v>189.9701042666206</c:v>
                </c:pt>
                <c:pt idx="10">
                  <c:v>196.2132532331292</c:v>
                </c:pt>
                <c:pt idx="11">
                  <c:v>200.9866870505805</c:v>
                </c:pt>
                <c:pt idx="12">
                  <c:v>204.446551772891</c:v>
                </c:pt>
                <c:pt idx="13">
                  <c:v>206.7354080765962</c:v>
                </c:pt>
                <c:pt idx="14">
                  <c:v>207.9833079241411</c:v>
                </c:pt>
                <c:pt idx="15">
                  <c:v>208.3087904091554</c:v>
                </c:pt>
                <c:pt idx="16">
                  <c:v>207.8198026382419</c:v>
                </c:pt>
                <c:pt idx="17">
                  <c:v>206.6145510902156</c:v>
                </c:pt>
                <c:pt idx="18">
                  <c:v>204.782288508821</c:v>
                </c:pt>
                <c:pt idx="19">
                  <c:v>202.4040410267565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7012632"/>
        <c:axId val="-2107426360"/>
      </c:lineChart>
      <c:catAx>
        <c:axId val="-2107012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96891533659232"/>
              <c:y val="0.920894013726017"/>
            </c:manualLayout>
          </c:layout>
          <c:overlay val="0"/>
        </c:title>
        <c:majorTickMark val="out"/>
        <c:minorTickMark val="none"/>
        <c:tickLblPos val="nextTo"/>
        <c:crossAx val="-2107426360"/>
        <c:crosses val="autoZero"/>
        <c:auto val="1"/>
        <c:lblAlgn val="ctr"/>
        <c:lblOffset val="100"/>
        <c:noMultiLvlLbl val="0"/>
      </c:catAx>
      <c:valAx>
        <c:axId val="-2107426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NPV ($/Acre)</a:t>
                </a:r>
              </a:p>
            </c:rich>
          </c:tx>
          <c:layout>
            <c:manualLayout>
              <c:xMode val="edge"/>
              <c:yMode val="edge"/>
              <c:x val="0.0"/>
              <c:y val="0.388324638770014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-2107012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0980428115086726"/>
          <c:y val="0.95576506833849"/>
          <c:w val="0.899999907729841"/>
          <c:h val="0.04423493166151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aseline="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96" workbookViewId="0" zoomToFit="1"/>
  </sheetViews>
  <sheetProtection password="8892"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96" workbookViewId="0" zoomToFit="1"/>
  </sheetViews>
  <sheetProtection password="8892" content="1" objects="1"/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96" workbookViewId="0" zoomToFit="1"/>
  </sheetViews>
  <sheetProtection password="8892" content="1" objects="1"/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96" workbookViewId="0" zoomToFit="1"/>
  </sheetViews>
  <sheetProtection password="8892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515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515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515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515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K294"/>
  <sheetViews>
    <sheetView tabSelected="1" workbookViewId="0">
      <pane ySplit="11" topLeftCell="A12" activePane="bottomLeft" state="frozen"/>
      <selection activeCell="D26" sqref="D26"/>
      <selection pane="bottomLeft" activeCell="H5" sqref="H5"/>
    </sheetView>
  </sheetViews>
  <sheetFormatPr baseColWidth="10" defaultColWidth="8.83203125" defaultRowHeight="14" x14ac:dyDescent="0"/>
  <cols>
    <col min="1" max="1" width="7.83203125" customWidth="1"/>
    <col min="2" max="2" width="17.33203125" customWidth="1"/>
    <col min="3" max="3" width="21.1640625" customWidth="1"/>
    <col min="4" max="4" width="14.33203125" customWidth="1"/>
    <col min="5" max="5" width="15" customWidth="1"/>
    <col min="6" max="6" width="11.1640625" customWidth="1"/>
    <col min="7" max="15" width="15.5" customWidth="1"/>
    <col min="16" max="16" width="15.5" bestFit="1" customWidth="1"/>
    <col min="17" max="17" width="16.83203125" bestFit="1" customWidth="1"/>
    <col min="18" max="19" width="16.33203125" bestFit="1" customWidth="1"/>
    <col min="20" max="20" width="17.33203125" bestFit="1" customWidth="1"/>
    <col min="21" max="21" width="16.83203125" bestFit="1" customWidth="1"/>
    <col min="22" max="22" width="15.5" bestFit="1" customWidth="1"/>
    <col min="23" max="24" width="16.33203125" bestFit="1" customWidth="1"/>
    <col min="25" max="26" width="17.33203125" bestFit="1" customWidth="1"/>
    <col min="27" max="27" width="14.6640625" style="6" bestFit="1" customWidth="1"/>
    <col min="28" max="29" width="14.1640625" style="6" bestFit="1" customWidth="1"/>
    <col min="30" max="30" width="14.6640625" style="6" bestFit="1" customWidth="1"/>
    <col min="31" max="31" width="14.1640625" style="6" bestFit="1" customWidth="1"/>
    <col min="32" max="32" width="11.83203125" style="6" bestFit="1" customWidth="1"/>
    <col min="33" max="34" width="12.33203125" style="6" bestFit="1" customWidth="1"/>
    <col min="35" max="36" width="11.83203125" style="6" bestFit="1" customWidth="1"/>
    <col min="37" max="37" width="12.33203125" style="6" bestFit="1" customWidth="1"/>
    <col min="38" max="39" width="11.83203125" style="6" bestFit="1" customWidth="1"/>
    <col min="40" max="40" width="12.33203125" style="6" bestFit="1" customWidth="1"/>
    <col min="41" max="41" width="11.83203125" style="6" bestFit="1" customWidth="1"/>
    <col min="42" max="42" width="12.33203125" style="6" bestFit="1" customWidth="1"/>
    <col min="43" max="44" width="11.83203125" style="6" bestFit="1" customWidth="1"/>
    <col min="45" max="45" width="12.33203125" style="6" bestFit="1" customWidth="1"/>
    <col min="46" max="47" width="11.83203125" style="6" bestFit="1" customWidth="1"/>
    <col min="48" max="48" width="12.33203125" style="6" bestFit="1" customWidth="1"/>
    <col min="49" max="49" width="11.83203125" style="6" bestFit="1" customWidth="1"/>
    <col min="50" max="50" width="11.33203125" style="6" bestFit="1" customWidth="1"/>
    <col min="51" max="52" width="12.33203125" style="6" bestFit="1" customWidth="1"/>
    <col min="53" max="54" width="13" style="6" bestFit="1" customWidth="1"/>
    <col min="55" max="55" width="12.5" style="6" bestFit="1" customWidth="1"/>
    <col min="56" max="56" width="12" style="6" customWidth="1"/>
    <col min="57" max="60" width="8.83203125" style="6"/>
    <col min="65" max="65" width="9.1640625" customWidth="1"/>
  </cols>
  <sheetData>
    <row r="1" spans="1:63" s="4" customFormat="1" ht="18">
      <c r="H1" s="116" t="s">
        <v>1</v>
      </c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</row>
    <row r="2" spans="1:63" s="4" customFormat="1" ht="15">
      <c r="H2" s="10" t="s">
        <v>0</v>
      </c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</row>
    <row r="3" spans="1:63" s="4" customFormat="1"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</row>
    <row r="4" spans="1:63" s="4" customFormat="1">
      <c r="C4" s="104" t="s">
        <v>202</v>
      </c>
      <c r="D4" s="184">
        <v>0.02</v>
      </c>
      <c r="G4" s="104" t="s">
        <v>6</v>
      </c>
      <c r="H4" s="187">
        <v>25</v>
      </c>
      <c r="J4" s="104" t="s">
        <v>142</v>
      </c>
      <c r="K4" s="184">
        <v>6.5000000000000002E-2</v>
      </c>
      <c r="M4" s="104" t="s">
        <v>225</v>
      </c>
      <c r="N4" s="185" t="s">
        <v>227</v>
      </c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</row>
    <row r="5" spans="1:63" s="4" customFormat="1">
      <c r="A5" s="6"/>
      <c r="C5" s="136" t="s">
        <v>177</v>
      </c>
      <c r="D5" s="185">
        <v>100</v>
      </c>
      <c r="G5" s="104" t="s">
        <v>175</v>
      </c>
      <c r="H5" s="185">
        <v>35</v>
      </c>
      <c r="J5" s="104" t="s">
        <v>195</v>
      </c>
      <c r="K5" s="186">
        <v>25</v>
      </c>
      <c r="M5" s="104" t="str">
        <f>IF(N4="Well","Well Depth:","")</f>
        <v>Well Depth:</v>
      </c>
      <c r="N5" s="189">
        <v>100</v>
      </c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</row>
    <row r="6" spans="1:63" s="4" customFormat="1">
      <c r="A6" s="6"/>
      <c r="C6" s="112" t="s">
        <v>192</v>
      </c>
      <c r="D6" s="185" t="s">
        <v>193</v>
      </c>
      <c r="G6" s="104" t="s">
        <v>176</v>
      </c>
      <c r="H6" s="185">
        <v>23</v>
      </c>
      <c r="J6" s="104" t="s">
        <v>223</v>
      </c>
      <c r="K6" s="186">
        <v>100</v>
      </c>
      <c r="M6" s="104" t="s">
        <v>237</v>
      </c>
      <c r="N6" s="189" t="s">
        <v>170</v>
      </c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3" s="4" customFormat="1">
      <c r="C7" s="104" t="s">
        <v>201</v>
      </c>
      <c r="D7" s="186">
        <v>3.6</v>
      </c>
      <c r="G7" s="104" t="s">
        <v>9</v>
      </c>
      <c r="H7" s="188">
        <v>0.9</v>
      </c>
      <c r="J7" s="104" t="s">
        <v>208</v>
      </c>
      <c r="K7" s="186">
        <v>500</v>
      </c>
      <c r="M7" s="104" t="s">
        <v>238</v>
      </c>
      <c r="N7" s="189" t="s">
        <v>170</v>
      </c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</row>
    <row r="8" spans="1:63" s="4" customFormat="1">
      <c r="G8" s="104"/>
      <c r="H8" s="9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</row>
    <row r="9" spans="1:63" s="4" customFormat="1">
      <c r="G9" s="104"/>
      <c r="H9" s="9"/>
      <c r="K9" s="127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</row>
    <row r="10" spans="1:63" s="4" customFormat="1">
      <c r="G10" s="16" t="s">
        <v>105</v>
      </c>
      <c r="H10" s="16" t="s">
        <v>105</v>
      </c>
      <c r="I10" s="16" t="s">
        <v>105</v>
      </c>
      <c r="J10" s="16" t="s">
        <v>105</v>
      </c>
      <c r="K10" s="16" t="s">
        <v>105</v>
      </c>
      <c r="L10" s="16" t="s">
        <v>105</v>
      </c>
      <c r="M10" s="16" t="s">
        <v>105</v>
      </c>
      <c r="N10" s="16" t="s">
        <v>105</v>
      </c>
      <c r="O10" s="16" t="s">
        <v>105</v>
      </c>
      <c r="P10" s="16" t="s">
        <v>105</v>
      </c>
      <c r="Q10" s="16" t="s">
        <v>105</v>
      </c>
      <c r="R10" s="16" t="s">
        <v>105</v>
      </c>
      <c r="S10" s="16" t="s">
        <v>105</v>
      </c>
      <c r="T10" s="16" t="s">
        <v>105</v>
      </c>
      <c r="U10" s="16" t="s">
        <v>105</v>
      </c>
      <c r="V10" s="16" t="s">
        <v>105</v>
      </c>
      <c r="W10" s="16" t="s">
        <v>105</v>
      </c>
      <c r="X10" s="16" t="s">
        <v>105</v>
      </c>
      <c r="Y10" s="16" t="s">
        <v>105</v>
      </c>
      <c r="Z10" s="16" t="s">
        <v>105</v>
      </c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</row>
    <row r="11" spans="1:63" s="4" customFormat="1" ht="16" thickBot="1">
      <c r="A11" s="14"/>
      <c r="B11" s="14"/>
      <c r="C11" s="5"/>
      <c r="D11" s="8" t="s">
        <v>3</v>
      </c>
      <c r="E11" s="67" t="s">
        <v>101</v>
      </c>
      <c r="F11" s="8" t="s">
        <v>20</v>
      </c>
      <c r="G11" s="8">
        <v>1</v>
      </c>
      <c r="H11" s="8">
        <v>2</v>
      </c>
      <c r="I11" s="8">
        <v>3</v>
      </c>
      <c r="J11" s="8">
        <v>4</v>
      </c>
      <c r="K11" s="8">
        <v>5</v>
      </c>
      <c r="L11" s="8">
        <v>6</v>
      </c>
      <c r="M11" s="8">
        <v>7</v>
      </c>
      <c r="N11" s="8">
        <v>8</v>
      </c>
      <c r="O11" s="8">
        <v>9</v>
      </c>
      <c r="P11" s="8">
        <v>10</v>
      </c>
      <c r="Q11" s="8">
        <v>11</v>
      </c>
      <c r="R11" s="8">
        <v>12</v>
      </c>
      <c r="S11" s="8">
        <v>13</v>
      </c>
      <c r="T11" s="8">
        <v>14</v>
      </c>
      <c r="U11" s="8">
        <v>15</v>
      </c>
      <c r="V11" s="8">
        <v>16</v>
      </c>
      <c r="W11" s="8">
        <v>17</v>
      </c>
      <c r="X11" s="8">
        <v>18</v>
      </c>
      <c r="Y11" s="8">
        <v>19</v>
      </c>
      <c r="Z11" s="8">
        <v>20</v>
      </c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6"/>
    </row>
    <row r="12" spans="1:63" s="4" customFormat="1" ht="15">
      <c r="A12" s="33" t="s">
        <v>2</v>
      </c>
      <c r="B12" s="26"/>
      <c r="C12" s="6"/>
      <c r="D12" s="18"/>
      <c r="E12" s="46"/>
      <c r="F12" s="117"/>
      <c r="G12" s="9"/>
      <c r="H12" s="9"/>
      <c r="I12" s="9"/>
      <c r="J12" s="9"/>
      <c r="K12" s="9"/>
      <c r="L12" s="9"/>
      <c r="M12" s="9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</row>
    <row r="13" spans="1:63" s="4" customFormat="1">
      <c r="A13" s="34" t="s">
        <v>19</v>
      </c>
      <c r="D13" s="18" t="s">
        <v>118</v>
      </c>
      <c r="E13" s="118">
        <f>AVERAGE('Yearly Input Information'!C33:AZ33)</f>
        <v>1.6800000000000002</v>
      </c>
      <c r="F13" s="119" t="s">
        <v>21</v>
      </c>
      <c r="G13" s="17">
        <f>'Yearly Input Information'!C34*'Yearly Input Information'!C33</f>
        <v>0</v>
      </c>
      <c r="H13" s="17">
        <f>'Yearly Input Information'!D34*'Yearly Input Information'!D33</f>
        <v>0</v>
      </c>
      <c r="I13" s="17">
        <f>'Yearly Input Information'!E34*'Yearly Input Information'!E33</f>
        <v>0</v>
      </c>
      <c r="J13" s="17">
        <f>'Yearly Input Information'!F34*'Yearly Input Information'!F33</f>
        <v>50.4</v>
      </c>
      <c r="K13" s="17">
        <f>'Yearly Input Information'!G34*'Yearly Input Information'!G33</f>
        <v>203.28</v>
      </c>
      <c r="L13" s="17">
        <f>'Yearly Input Information'!H34*'Yearly Input Information'!H33</f>
        <v>404.88</v>
      </c>
      <c r="M13" s="17">
        <f>'Yearly Input Information'!I34*'Yearly Input Information'!I33</f>
        <v>608.16</v>
      </c>
      <c r="N13" s="17">
        <f>'Yearly Input Information'!J34*'Yearly Input Information'!J33</f>
        <v>809.76</v>
      </c>
      <c r="O13" s="17">
        <f>'Yearly Input Information'!K34*'Yearly Input Information'!K33</f>
        <v>1013.04</v>
      </c>
      <c r="P13" s="17">
        <f>'Yearly Input Information'!L34*'Yearly Input Information'!L33</f>
        <v>1214.6399999999999</v>
      </c>
      <c r="Q13" s="17">
        <f>'Yearly Input Information'!M34*'Yearly Input Information'!M33</f>
        <v>1619.52</v>
      </c>
      <c r="R13" s="17">
        <f>'Yearly Input Information'!N34*'Yearly Input Information'!N33</f>
        <v>2184</v>
      </c>
      <c r="S13" s="17">
        <f>'Yearly Input Information'!O34*'Yearly Input Information'!O33</f>
        <v>2856</v>
      </c>
      <c r="T13" s="17">
        <f>'Yearly Input Information'!P34*'Yearly Input Information'!P33</f>
        <v>2184</v>
      </c>
      <c r="U13" s="17">
        <f>'Yearly Input Information'!Q34*'Yearly Input Information'!Q33</f>
        <v>2856</v>
      </c>
      <c r="V13" s="17">
        <f>'Yearly Input Information'!R34*'Yearly Input Information'!R33</f>
        <v>2184</v>
      </c>
      <c r="W13" s="17">
        <f>'Yearly Input Information'!S34*'Yearly Input Information'!S33</f>
        <v>2856</v>
      </c>
      <c r="X13" s="17">
        <f>'Yearly Input Information'!T34*'Yearly Input Information'!T33</f>
        <v>2184</v>
      </c>
      <c r="Y13" s="17">
        <f>'Yearly Input Information'!U34*'Yearly Input Information'!U33</f>
        <v>2856</v>
      </c>
      <c r="Z13" s="17">
        <f>'Yearly Input Information'!V34*'Yearly Input Information'!V33</f>
        <v>2184</v>
      </c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6"/>
      <c r="BF13" s="6"/>
      <c r="BG13" s="6"/>
      <c r="BH13" s="6"/>
    </row>
    <row r="14" spans="1:63" s="4" customFormat="1" ht="27.75" customHeight="1" thickBot="1">
      <c r="A14" s="35" t="s">
        <v>27</v>
      </c>
      <c r="B14" s="19"/>
      <c r="C14" s="5"/>
      <c r="D14" s="20"/>
      <c r="E14" s="21"/>
      <c r="F14" s="120"/>
      <c r="G14" s="21">
        <f t="shared" ref="G14:Z14" si="0">SUM(G13:G13)</f>
        <v>0</v>
      </c>
      <c r="H14" s="21">
        <f t="shared" si="0"/>
        <v>0</v>
      </c>
      <c r="I14" s="21">
        <f t="shared" si="0"/>
        <v>0</v>
      </c>
      <c r="J14" s="21">
        <f t="shared" si="0"/>
        <v>50.4</v>
      </c>
      <c r="K14" s="21">
        <f t="shared" si="0"/>
        <v>203.28</v>
      </c>
      <c r="L14" s="21">
        <f t="shared" si="0"/>
        <v>404.88</v>
      </c>
      <c r="M14" s="21">
        <f t="shared" si="0"/>
        <v>608.16</v>
      </c>
      <c r="N14" s="21">
        <f t="shared" si="0"/>
        <v>809.76</v>
      </c>
      <c r="O14" s="21">
        <f t="shared" si="0"/>
        <v>1013.04</v>
      </c>
      <c r="P14" s="21">
        <f t="shared" si="0"/>
        <v>1214.6399999999999</v>
      </c>
      <c r="Q14" s="21">
        <f t="shared" si="0"/>
        <v>1619.52</v>
      </c>
      <c r="R14" s="21">
        <f t="shared" si="0"/>
        <v>2184</v>
      </c>
      <c r="S14" s="21">
        <f t="shared" si="0"/>
        <v>2856</v>
      </c>
      <c r="T14" s="21">
        <f t="shared" si="0"/>
        <v>2184</v>
      </c>
      <c r="U14" s="21">
        <f t="shared" si="0"/>
        <v>2856</v>
      </c>
      <c r="V14" s="21">
        <f t="shared" si="0"/>
        <v>2184</v>
      </c>
      <c r="W14" s="21">
        <f t="shared" si="0"/>
        <v>2856</v>
      </c>
      <c r="X14" s="21">
        <f t="shared" si="0"/>
        <v>2184</v>
      </c>
      <c r="Y14" s="21">
        <f t="shared" si="0"/>
        <v>2856</v>
      </c>
      <c r="Z14" s="21">
        <f t="shared" si="0"/>
        <v>2184</v>
      </c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6"/>
      <c r="BF14" s="6"/>
      <c r="BG14" s="6"/>
      <c r="BH14" s="6"/>
    </row>
    <row r="15" spans="1:63" s="4" customFormat="1">
      <c r="B15" s="47"/>
      <c r="D15" s="46"/>
      <c r="E15" s="24"/>
      <c r="F15" s="119"/>
      <c r="G15" s="16"/>
      <c r="H15" s="16"/>
      <c r="I15" s="16"/>
      <c r="J15" s="16"/>
      <c r="K15" s="16"/>
      <c r="L15" s="16"/>
      <c r="M15" s="1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</row>
    <row r="16" spans="1:63" s="4" customFormat="1" ht="16" thickBot="1">
      <c r="A16" s="134" t="s">
        <v>29</v>
      </c>
      <c r="B16" s="14"/>
      <c r="C16" s="5"/>
      <c r="D16" s="8"/>
      <c r="E16" s="67"/>
      <c r="F16" s="120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6"/>
    </row>
    <row r="17" spans="1:60">
      <c r="A17" s="36" t="s">
        <v>4</v>
      </c>
      <c r="B17" s="22"/>
      <c r="C17" s="4"/>
      <c r="D17" s="18"/>
      <c r="E17" s="24"/>
      <c r="F17" s="119"/>
      <c r="G17" s="16"/>
      <c r="H17" s="16"/>
      <c r="I17" s="16"/>
      <c r="J17" s="16"/>
      <c r="K17" s="16"/>
      <c r="L17" s="16"/>
      <c r="M17" s="16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60" s="4" customFormat="1">
      <c r="A18" s="37" t="str">
        <f>'Yearly Input Information'!A54</f>
        <v>Subsoil (Rip or Slip Plow)</v>
      </c>
      <c r="B18" s="7"/>
      <c r="D18" s="18" t="s">
        <v>118</v>
      </c>
      <c r="E18" s="190">
        <f>12</f>
        <v>12</v>
      </c>
      <c r="F18" s="119" t="s">
        <v>44</v>
      </c>
      <c r="G18" s="17">
        <f>$E$18*'Yearly Input Information'!C54</f>
        <v>2.4000000000000004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6"/>
      <c r="BF18" s="6"/>
      <c r="BG18" s="6"/>
      <c r="BH18" s="6"/>
    </row>
    <row r="19" spans="1:60" s="4" customFormat="1">
      <c r="A19" s="37" t="str">
        <f>'Yearly Input Information'!A55</f>
        <v>Disc</v>
      </c>
      <c r="B19" s="7"/>
      <c r="D19" s="18" t="s">
        <v>118</v>
      </c>
      <c r="E19" s="190">
        <v>8.32</v>
      </c>
      <c r="F19" s="119" t="s">
        <v>44</v>
      </c>
      <c r="G19" s="17">
        <f>$E$19*'Yearly Input Information'!C54</f>
        <v>1.6640000000000001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6"/>
      <c r="BF19" s="6"/>
      <c r="BG19" s="6"/>
      <c r="BH19" s="6"/>
    </row>
    <row r="20" spans="1:60" s="4" customFormat="1">
      <c r="A20" s="37" t="str">
        <f>'Yearly Input Information'!A56</f>
        <v>Level</v>
      </c>
      <c r="B20" s="7"/>
      <c r="D20" s="18" t="s">
        <v>118</v>
      </c>
      <c r="E20" s="190">
        <v>45</v>
      </c>
      <c r="F20" s="119" t="s">
        <v>44</v>
      </c>
      <c r="G20" s="17">
        <f>E20*'Yearly Input Information'!C55</f>
        <v>9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6"/>
      <c r="BF20" s="6"/>
      <c r="BG20" s="6"/>
      <c r="BH20" s="6"/>
    </row>
    <row r="21" spans="1:60" s="4" customFormat="1">
      <c r="A21" s="37" t="str">
        <f>'Yearly Input Information'!A57</f>
        <v>Well Drilling</v>
      </c>
      <c r="B21" s="7"/>
      <c r="D21" s="18" t="str">
        <f>IF(N4="Well","$/ac","$/ac")</f>
        <v>$/ac</v>
      </c>
      <c r="E21" s="24">
        <f>IF(N4="Well",25,E20)</f>
        <v>25</v>
      </c>
      <c r="F21" s="119" t="s">
        <v>44</v>
      </c>
      <c r="G21" s="17">
        <f>IF(N4="Well",(N5*E21)/D5,(45*E20)/D5)</f>
        <v>25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6"/>
      <c r="BF21" s="6"/>
      <c r="BG21" s="6"/>
      <c r="BH21" s="6"/>
    </row>
    <row r="22" spans="1:60" s="4" customFormat="1">
      <c r="A22" s="38" t="s">
        <v>52</v>
      </c>
      <c r="B22" s="23"/>
      <c r="D22" s="18"/>
      <c r="E22" s="24"/>
      <c r="F22" s="119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6"/>
      <c r="BF22" s="6"/>
      <c r="BG22" s="6"/>
      <c r="BH22" s="6"/>
    </row>
    <row r="23" spans="1:60" s="4" customFormat="1">
      <c r="A23" s="88" t="str">
        <f>'Chemical Mixing Rates'!F12</f>
        <v>Roundup</v>
      </c>
      <c r="B23" s="7"/>
      <c r="D23" s="18" t="s">
        <v>118</v>
      </c>
      <c r="E23" s="24">
        <f>AVERAGE('Yearly Input Information'!C39:AZ39)</f>
        <v>0.15280767725100602</v>
      </c>
      <c r="F23" s="119" t="str">
        <f>'Yearly Input Information'!CU7</f>
        <v>$/oz</v>
      </c>
      <c r="G23" s="17">
        <f>(('Yearly Input Information'!C39*'Chemical Mixing Rates'!$G$12)+('Chemical Mixing Rates'!$I$12*'Yearly Input Information'!C49)+('Yearly Input Information'!$DE$7))*('Chemical Mixing Rates'!$M$12+1)</f>
        <v>8.73</v>
      </c>
      <c r="H23" s="17">
        <f>(('Yearly Input Information'!D39*'Chemical Mixing Rates'!$G$12)+('Chemical Mixing Rates'!$I$12*'Yearly Input Information'!D49)+('Yearly Input Information'!$DE$7))*'Chemical Mixing Rates'!$M$12</f>
        <v>7.4205000000000005</v>
      </c>
      <c r="I23" s="17">
        <f>(('Yearly Input Information'!E39*'Chemical Mixing Rates'!$G$12)+('Chemical Mixing Rates'!$I$12*'Yearly Input Information'!E49)+('Yearly Input Information'!$DE$7))*'Chemical Mixing Rates'!$M$12</f>
        <v>7.5689100000000007</v>
      </c>
      <c r="J23" s="17">
        <f>(('Yearly Input Information'!F39*'Chemical Mixing Rates'!$G$12)+('Chemical Mixing Rates'!$I$12*'Yearly Input Information'!F49)+('Yearly Input Information'!$DE$7))*'Chemical Mixing Rates'!$M$12</f>
        <v>7.7202882000000006</v>
      </c>
      <c r="K23" s="17">
        <f>(('Yearly Input Information'!G39*'Chemical Mixing Rates'!$G$12)+('Chemical Mixing Rates'!$I$12*'Yearly Input Information'!G49)+('Yearly Input Information'!$DE$7))*'Chemical Mixing Rates'!$M$12</f>
        <v>7.8746939640000013</v>
      </c>
      <c r="L23" s="17">
        <f>(('Yearly Input Information'!H39*'Chemical Mixing Rates'!$G$12)+('Chemical Mixing Rates'!$I$12*'Yearly Input Information'!H49)+('Yearly Input Information'!$DE$7))*'Chemical Mixing Rates'!$M$12</f>
        <v>8.0321878432800009</v>
      </c>
      <c r="M23" s="17">
        <f>(('Yearly Input Information'!I39*'Chemical Mixing Rates'!$G$12)+('Chemical Mixing Rates'!$I$12*'Yearly Input Information'!I49)+('Yearly Input Information'!$DE$7))*'Chemical Mixing Rates'!$M$12</f>
        <v>8.1928316001456025</v>
      </c>
      <c r="N23" s="17">
        <f>(('Yearly Input Information'!J39*'Chemical Mixing Rates'!$G$12)+('Chemical Mixing Rates'!$I$12*'Yearly Input Information'!J49)+('Yearly Input Information'!$DE$7))*'Chemical Mixing Rates'!$M$12</f>
        <v>8.3566882321485139</v>
      </c>
      <c r="O23" s="17">
        <f>(('Yearly Input Information'!K39*'Chemical Mixing Rates'!$G$12)+('Chemical Mixing Rates'!$I$12*'Yearly Input Information'!K49)+('Yearly Input Information'!$DE$7))*'Chemical Mixing Rates'!$M$12</f>
        <v>8.5238219967914848</v>
      </c>
      <c r="P23" s="17">
        <f>(('Yearly Input Information'!L39*'Chemical Mixing Rates'!$G$12)+('Chemical Mixing Rates'!$I$12*'Yearly Input Information'!L49)+('Yearly Input Information'!$DE$7))*'Chemical Mixing Rates'!$M$12</f>
        <v>8.6942984367273155</v>
      </c>
      <c r="Q23" s="17">
        <f>(('Yearly Input Information'!M39*'Chemical Mixing Rates'!$G$12)+('Chemical Mixing Rates'!$I$12*'Yearly Input Information'!M49)+('Yearly Input Information'!$DE$7))*'Chemical Mixing Rates'!$M$12</f>
        <v>8.8681844054618608</v>
      </c>
      <c r="R23" s="17">
        <f>(('Yearly Input Information'!N39*'Chemical Mixing Rates'!$G$12)+('Chemical Mixing Rates'!$I$12*'Yearly Input Information'!N49)+('Yearly Input Information'!$DE$7))*'Chemical Mixing Rates'!$M$12</f>
        <v>9.0455480935710995</v>
      </c>
      <c r="S23" s="17">
        <f>(('Yearly Input Information'!O39*'Chemical Mixing Rates'!$G$12)+('Chemical Mixing Rates'!$I$12*'Yearly Input Information'!O49)+('Yearly Input Information'!$DE$7))*'Chemical Mixing Rates'!$M$12</f>
        <v>9.2264590554425201</v>
      </c>
      <c r="T23" s="17">
        <f>(('Yearly Input Information'!P39*'Chemical Mixing Rates'!$G$12)+('Chemical Mixing Rates'!$I$12*'Yearly Input Information'!P49)+('Yearly Input Information'!$DE$7))*'Chemical Mixing Rates'!$M$12</f>
        <v>9.4109882365513702</v>
      </c>
      <c r="U23" s="17">
        <f>(('Yearly Input Information'!Q39*'Chemical Mixing Rates'!$G$12)+('Chemical Mixing Rates'!$I$12*'Yearly Input Information'!Q49)+('Yearly Input Information'!$DE$7))*'Chemical Mixing Rates'!$M$12</f>
        <v>9.5992080012823973</v>
      </c>
      <c r="V23" s="17">
        <f>(('Yearly Input Information'!R39*'Chemical Mixing Rates'!$G$12)+('Chemical Mixing Rates'!$I$12*'Yearly Input Information'!R49)+('Yearly Input Information'!$DE$7))*'Chemical Mixing Rates'!$M$12</f>
        <v>9.7911921613080448</v>
      </c>
      <c r="W23" s="17">
        <f>(('Yearly Input Information'!S39*'Chemical Mixing Rates'!$G$12)+('Chemical Mixing Rates'!$I$12*'Yearly Input Information'!S49)+('Yearly Input Information'!$DE$7))*'Chemical Mixing Rates'!$M$12</f>
        <v>9.9870160045342065</v>
      </c>
      <c r="X23" s="17">
        <f>(('Yearly Input Information'!T39*'Chemical Mixing Rates'!$G$12)+('Chemical Mixing Rates'!$I$12*'Yearly Input Information'!T49)+('Yearly Input Information'!$DE$7))*'Chemical Mixing Rates'!$M$12</f>
        <v>10.186756324624891</v>
      </c>
      <c r="Y23" s="17">
        <f>(('Yearly Input Information'!U39*'Chemical Mixing Rates'!$G$12)+('Chemical Mixing Rates'!$I$12*'Yearly Input Information'!U49)+('Yearly Input Information'!$DE$7))*'Chemical Mixing Rates'!$M$12</f>
        <v>10.39049145111739</v>
      </c>
      <c r="Z23" s="17">
        <f>(('Yearly Input Information'!V39*'Chemical Mixing Rates'!$G$12)+('Chemical Mixing Rates'!$I$12*'Yearly Input Information'!V49)+('Yearly Input Information'!$DE$7))*'Chemical Mixing Rates'!$M$12</f>
        <v>10.598301280139736</v>
      </c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6"/>
      <c r="BF23" s="6"/>
      <c r="BG23" s="6"/>
      <c r="BH23" s="6"/>
    </row>
    <row r="24" spans="1:60" s="4" customFormat="1">
      <c r="A24" s="88" t="str">
        <f>'Chemical Mixing Rates'!F13</f>
        <v/>
      </c>
      <c r="B24" s="7"/>
      <c r="D24" s="18" t="s">
        <v>118</v>
      </c>
      <c r="E24" s="24" t="str">
        <f>IF(A24="","",AVERAGE('Yearly Input Information'!C40:AZ40))</f>
        <v/>
      </c>
      <c r="F24" s="119" t="str">
        <f>'Yearly Input Information'!CU8</f>
        <v/>
      </c>
      <c r="G24" s="17" t="str">
        <f>IF($A$24="","",(('Yearly Input Information'!C40*'Chemical Mixing Rates'!$G$13)+('Chemical Mixing Rates'!$I$13*'Yearly Input Information'!C49)+('Chemical Mixing Rates'!$L$13)+('Yearly Input Information'!$DE$8))*'Chemical Mixing Rates'!$M$13)</f>
        <v/>
      </c>
      <c r="H24" s="17" t="str">
        <f>IF($A$24="","",(('Yearly Input Information'!D40*'Chemical Mixing Rates'!$G$13)+('Chemical Mixing Rates'!$I$13*'Yearly Input Information'!D49)+('Chemical Mixing Rates'!$L$13)+('Yearly Input Information'!$DE$8))*'Chemical Mixing Rates'!$M$13)</f>
        <v/>
      </c>
      <c r="I24" s="17" t="str">
        <f>IF($A$24="","",(('Yearly Input Information'!E40*'Chemical Mixing Rates'!$G$13)+('Chemical Mixing Rates'!$I$13*'Yearly Input Information'!E49)+('Chemical Mixing Rates'!$L$13)+('Yearly Input Information'!$DE$8))*'Chemical Mixing Rates'!$M$13)</f>
        <v/>
      </c>
      <c r="J24" s="17" t="str">
        <f>IF($A$24="","",(('Yearly Input Information'!F40*'Chemical Mixing Rates'!$G$13)+('Chemical Mixing Rates'!$I$13*'Yearly Input Information'!F49)+('Chemical Mixing Rates'!$L$13)+('Yearly Input Information'!$DE$8))*'Chemical Mixing Rates'!$M$13)</f>
        <v/>
      </c>
      <c r="K24" s="17" t="str">
        <f>IF($A$24="","",(('Yearly Input Information'!G40*'Chemical Mixing Rates'!$G$13)+('Chemical Mixing Rates'!$I$13*'Yearly Input Information'!G49)+('Chemical Mixing Rates'!$L$13)+('Yearly Input Information'!$DE$8))*'Chemical Mixing Rates'!$M$13)</f>
        <v/>
      </c>
      <c r="L24" s="17" t="str">
        <f>IF($A$24="","",(('Yearly Input Information'!H40*'Chemical Mixing Rates'!$G$13)+('Chemical Mixing Rates'!$I$13*'Yearly Input Information'!H49)+('Chemical Mixing Rates'!$L$13)+('Yearly Input Information'!$DE$8))*'Chemical Mixing Rates'!$M$13)</f>
        <v/>
      </c>
      <c r="M24" s="17" t="str">
        <f>IF($A$24="","",(('Yearly Input Information'!I40*'Chemical Mixing Rates'!$G$13)+('Chemical Mixing Rates'!$I$13*'Yearly Input Information'!I49)+('Chemical Mixing Rates'!$L$13)+('Yearly Input Information'!$DE$8))*'Chemical Mixing Rates'!$M$13)</f>
        <v/>
      </c>
      <c r="N24" s="17" t="str">
        <f>IF($A$24="","",(('Yearly Input Information'!J40*'Chemical Mixing Rates'!$G$13)+('Chemical Mixing Rates'!$I$13*'Yearly Input Information'!J49)+('Chemical Mixing Rates'!$L$13)+('Yearly Input Information'!$DE$8))*'Chemical Mixing Rates'!$M$13)</f>
        <v/>
      </c>
      <c r="O24" s="17" t="str">
        <f>IF($A$24="","",(('Yearly Input Information'!K40*'Chemical Mixing Rates'!$G$13)+('Chemical Mixing Rates'!$I$13*'Yearly Input Information'!K49)+('Chemical Mixing Rates'!$L$13)+('Yearly Input Information'!$DE$8))*'Chemical Mixing Rates'!$M$13)</f>
        <v/>
      </c>
      <c r="P24" s="17" t="str">
        <f>IF($A$24="","",(('Yearly Input Information'!L40*'Chemical Mixing Rates'!$G$13)+('Chemical Mixing Rates'!$I$13*'Yearly Input Information'!L49)+('Chemical Mixing Rates'!$L$13)+('Yearly Input Information'!$DE$8))*'Chemical Mixing Rates'!$M$13)</f>
        <v/>
      </c>
      <c r="Q24" s="17" t="str">
        <f>IF($A$24="","",(('Yearly Input Information'!M40*'Chemical Mixing Rates'!$G$13)+('Chemical Mixing Rates'!$I$13*'Yearly Input Information'!M49)+('Chemical Mixing Rates'!$L$13)+('Yearly Input Information'!$DE$8))*'Chemical Mixing Rates'!$M$13)</f>
        <v/>
      </c>
      <c r="R24" s="17" t="str">
        <f>IF($A$24="","",(('Yearly Input Information'!N40*'Chemical Mixing Rates'!$G$13)+('Chemical Mixing Rates'!$I$13*'Yearly Input Information'!N49)+('Chemical Mixing Rates'!$L$13)+('Yearly Input Information'!$DE$8))*'Chemical Mixing Rates'!$M$13)</f>
        <v/>
      </c>
      <c r="S24" s="17" t="str">
        <f>IF($A$24="","",(('Yearly Input Information'!O40*'Chemical Mixing Rates'!$G$13)+('Chemical Mixing Rates'!$I$13*'Yearly Input Information'!O49)+('Chemical Mixing Rates'!$L$13)+('Yearly Input Information'!$DE$8))*'Chemical Mixing Rates'!$M$13)</f>
        <v/>
      </c>
      <c r="T24" s="17" t="str">
        <f>IF($A$24="","",(('Yearly Input Information'!P40*'Chemical Mixing Rates'!$G$13)+('Chemical Mixing Rates'!$I$13*'Yearly Input Information'!P49)+('Chemical Mixing Rates'!$L$13)+('Yearly Input Information'!$DE$8))*'Chemical Mixing Rates'!$M$13)</f>
        <v/>
      </c>
      <c r="U24" s="17" t="str">
        <f>IF($A$24="","",(('Yearly Input Information'!Q40*'Chemical Mixing Rates'!$G$13)+('Chemical Mixing Rates'!$I$13*'Yearly Input Information'!Q49)+('Chemical Mixing Rates'!$L$13)+('Yearly Input Information'!$DE$8))*'Chemical Mixing Rates'!$M$13)</f>
        <v/>
      </c>
      <c r="V24" s="17" t="str">
        <f>IF($A$24="","",(('Yearly Input Information'!R40*'Chemical Mixing Rates'!$G$13)+('Chemical Mixing Rates'!$I$13*'Yearly Input Information'!R49)+('Chemical Mixing Rates'!$L$13)+('Yearly Input Information'!$DE$8))*'Chemical Mixing Rates'!$M$13)</f>
        <v/>
      </c>
      <c r="W24" s="17" t="str">
        <f>IF($A$24="","",(('Yearly Input Information'!S40*'Chemical Mixing Rates'!$G$13)+('Chemical Mixing Rates'!$I$13*'Yearly Input Information'!S49)+('Chemical Mixing Rates'!$L$13)+('Yearly Input Information'!$DE$8))*'Chemical Mixing Rates'!$M$13)</f>
        <v/>
      </c>
      <c r="X24" s="17" t="str">
        <f>IF($A$24="","",(('Yearly Input Information'!T40*'Chemical Mixing Rates'!$G$13)+('Chemical Mixing Rates'!$I$13*'Yearly Input Information'!T49)+('Chemical Mixing Rates'!$L$13)+('Yearly Input Information'!$DE$8))*'Chemical Mixing Rates'!$M$13)</f>
        <v/>
      </c>
      <c r="Y24" s="17" t="str">
        <f>IF($A$24="","",(('Yearly Input Information'!U40*'Chemical Mixing Rates'!$G$13)+('Chemical Mixing Rates'!$I$13*'Yearly Input Information'!U49)+('Chemical Mixing Rates'!$L$13)+('Yearly Input Information'!$DE$8))*'Chemical Mixing Rates'!$M$13)</f>
        <v/>
      </c>
      <c r="Z24" s="17" t="str">
        <f>IF($A$24="","",(('Yearly Input Information'!V40*'Chemical Mixing Rates'!$G$13)+('Chemical Mixing Rates'!$I$13*'Yearly Input Information'!V49)+('Chemical Mixing Rates'!$L$13)+('Yearly Input Information'!$DE$8))*'Chemical Mixing Rates'!$M$13)</f>
        <v/>
      </c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6"/>
      <c r="BF24" s="6"/>
      <c r="BG24" s="6"/>
      <c r="BH24" s="6"/>
    </row>
    <row r="25" spans="1:60" s="4" customFormat="1">
      <c r="A25" s="88" t="str">
        <f>'Chemical Mixing Rates'!F14</f>
        <v/>
      </c>
      <c r="B25" s="7"/>
      <c r="D25" s="18" t="s">
        <v>118</v>
      </c>
      <c r="E25" s="24" t="str">
        <f>IF(A25="","",AVERAGE('Yearly Input Information'!C41:AZ41))</f>
        <v/>
      </c>
      <c r="F25" s="119" t="str">
        <f>'Yearly Input Information'!CU9</f>
        <v/>
      </c>
      <c r="G25" s="17" t="str">
        <f>IF($A$25="","",(('Yearly Input Information'!C41*'Chemical Mixing Rates'!$G$14)+('Chemical Mixing Rates'!$I$14*'Yearly Input Information'!C49)+('Chemical Mixing Rates'!$L$14)+('Yearly Input Information'!$DE$9))*'Chemical Mixing Rates'!$M$14)</f>
        <v/>
      </c>
      <c r="H25" s="17" t="str">
        <f>IF($A$25="","",(('Yearly Input Information'!D41*'Chemical Mixing Rates'!$G$14)+('Chemical Mixing Rates'!$I$14*'Yearly Input Information'!D49)+('Chemical Mixing Rates'!$L$14)+('Yearly Input Information'!$DE$9))*'Chemical Mixing Rates'!$M$14)</f>
        <v/>
      </c>
      <c r="I25" s="17" t="str">
        <f>IF($A$25="","",(('Yearly Input Information'!E41*'Chemical Mixing Rates'!$G$14)+('Chemical Mixing Rates'!$I$14*'Yearly Input Information'!E49)+('Chemical Mixing Rates'!$L$14)+('Yearly Input Information'!$DE$9))*'Chemical Mixing Rates'!$M$14)</f>
        <v/>
      </c>
      <c r="J25" s="17" t="str">
        <f>IF($A$25="","",(('Yearly Input Information'!F41*'Chemical Mixing Rates'!$G$14)+('Chemical Mixing Rates'!$I$14*'Yearly Input Information'!F49)+('Chemical Mixing Rates'!$L$14)+('Yearly Input Information'!$DE$9))*'Chemical Mixing Rates'!$M$14)</f>
        <v/>
      </c>
      <c r="K25" s="17" t="str">
        <f>IF($A$25="","",(('Yearly Input Information'!G41*'Chemical Mixing Rates'!$G$14)+('Chemical Mixing Rates'!$I$14*'Yearly Input Information'!G49)+('Chemical Mixing Rates'!$L$14)+('Yearly Input Information'!$DE$9))*'Chemical Mixing Rates'!$M$14)</f>
        <v/>
      </c>
      <c r="L25" s="17" t="str">
        <f>IF($A$25="","",(('Yearly Input Information'!H41*'Chemical Mixing Rates'!$G$14)+('Chemical Mixing Rates'!$I$14*'Yearly Input Information'!H49)+('Chemical Mixing Rates'!$L$14)+('Yearly Input Information'!$DE$9))*'Chemical Mixing Rates'!$M$14)</f>
        <v/>
      </c>
      <c r="M25" s="17" t="str">
        <f>IF($A$25="","",(('Yearly Input Information'!I41*'Chemical Mixing Rates'!$G$14)+('Chemical Mixing Rates'!$I$14*'Yearly Input Information'!I49)+('Chemical Mixing Rates'!$L$14)+('Yearly Input Information'!$DE$9))*'Chemical Mixing Rates'!$M$14)</f>
        <v/>
      </c>
      <c r="N25" s="17" t="str">
        <f>IF($A$25="","",(('Yearly Input Information'!J41*'Chemical Mixing Rates'!$G$14)+('Chemical Mixing Rates'!$I$14*'Yearly Input Information'!J49)+('Chemical Mixing Rates'!$L$14)+('Yearly Input Information'!$DE$9))*'Chemical Mixing Rates'!$M$14)</f>
        <v/>
      </c>
      <c r="O25" s="17" t="str">
        <f>IF($A$25="","",(('Yearly Input Information'!K41*'Chemical Mixing Rates'!$G$14)+('Chemical Mixing Rates'!$I$14*'Yearly Input Information'!K49)+('Chemical Mixing Rates'!$L$14)+('Yearly Input Information'!$DE$9))*'Chemical Mixing Rates'!$M$14)</f>
        <v/>
      </c>
      <c r="P25" s="17" t="str">
        <f>IF($A$25="","",(('Yearly Input Information'!L41*'Chemical Mixing Rates'!$G$14)+('Chemical Mixing Rates'!$I$14*'Yearly Input Information'!L49)+('Chemical Mixing Rates'!$L$14)+('Yearly Input Information'!$DE$9))*'Chemical Mixing Rates'!$M$14)</f>
        <v/>
      </c>
      <c r="Q25" s="17" t="str">
        <f>IF($A$25="","",(('Yearly Input Information'!M41*'Chemical Mixing Rates'!$G$14)+('Chemical Mixing Rates'!$I$14*'Yearly Input Information'!M49)+('Chemical Mixing Rates'!$L$14)+('Yearly Input Information'!$DE$9))*'Chemical Mixing Rates'!$M$14)</f>
        <v/>
      </c>
      <c r="R25" s="17" t="str">
        <f>IF($A$25="","",(('Yearly Input Information'!N41*'Chemical Mixing Rates'!$G$14)+('Chemical Mixing Rates'!$I$14*'Yearly Input Information'!N49)+('Chemical Mixing Rates'!$L$14)+('Yearly Input Information'!$DE$9))*'Chemical Mixing Rates'!$M$14)</f>
        <v/>
      </c>
      <c r="S25" s="17" t="str">
        <f>IF($A$25="","",(('Yearly Input Information'!O41*'Chemical Mixing Rates'!$G$14)+('Chemical Mixing Rates'!$I$14*'Yearly Input Information'!O49)+('Chemical Mixing Rates'!$L$14)+('Yearly Input Information'!$DE$9))*'Chemical Mixing Rates'!$M$14)</f>
        <v/>
      </c>
      <c r="T25" s="17" t="str">
        <f>IF($A$25="","",(('Yearly Input Information'!P41*'Chemical Mixing Rates'!$G$14)+('Chemical Mixing Rates'!$I$14*'Yearly Input Information'!P49)+('Chemical Mixing Rates'!$L$14)+('Yearly Input Information'!$DE$9))*'Chemical Mixing Rates'!$M$14)</f>
        <v/>
      </c>
      <c r="U25" s="17" t="str">
        <f>IF($A$25="","",(('Yearly Input Information'!Q41*'Chemical Mixing Rates'!$G$14)+('Chemical Mixing Rates'!$I$14*'Yearly Input Information'!Q49)+('Chemical Mixing Rates'!$L$14)+('Yearly Input Information'!$DE$9))*'Chemical Mixing Rates'!$M$14)</f>
        <v/>
      </c>
      <c r="V25" s="17" t="str">
        <f>IF($A$25="","",(('Yearly Input Information'!R41*'Chemical Mixing Rates'!$G$14)+('Chemical Mixing Rates'!$I$14*'Yearly Input Information'!R49)+('Chemical Mixing Rates'!$L$14)+('Yearly Input Information'!$DE$9))*'Chemical Mixing Rates'!$M$14)</f>
        <v/>
      </c>
      <c r="W25" s="17" t="str">
        <f>IF($A$25="","",(('Yearly Input Information'!S41*'Chemical Mixing Rates'!$G$14)+('Chemical Mixing Rates'!$I$14*'Yearly Input Information'!S49)+('Chemical Mixing Rates'!$L$14)+('Yearly Input Information'!$DE$9))*'Chemical Mixing Rates'!$M$14)</f>
        <v/>
      </c>
      <c r="X25" s="17" t="str">
        <f>IF($A$25="","",(('Yearly Input Information'!T41*'Chemical Mixing Rates'!$G$14)+('Chemical Mixing Rates'!$I$14*'Yearly Input Information'!T49)+('Chemical Mixing Rates'!$L$14)+('Yearly Input Information'!$DE$9))*'Chemical Mixing Rates'!$M$14)</f>
        <v/>
      </c>
      <c r="Y25" s="17" t="str">
        <f>IF($A$25="","",(('Yearly Input Information'!U41*'Chemical Mixing Rates'!$G$14)+('Chemical Mixing Rates'!$I$14*'Yearly Input Information'!U49)+('Chemical Mixing Rates'!$L$14)+('Yearly Input Information'!$DE$9))*'Chemical Mixing Rates'!$M$14)</f>
        <v/>
      </c>
      <c r="Z25" s="17" t="str">
        <f>IF($A$25="","",(('Yearly Input Information'!V41*'Chemical Mixing Rates'!$G$14)+('Chemical Mixing Rates'!$I$14*'Yearly Input Information'!V49)+('Chemical Mixing Rates'!$L$14)+('Yearly Input Information'!$DE$9))*'Chemical Mixing Rates'!$M$14)</f>
        <v/>
      </c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6"/>
      <c r="BF25" s="6"/>
      <c r="BG25" s="6"/>
      <c r="BH25" s="6"/>
    </row>
    <row r="26" spans="1:60" s="4" customFormat="1">
      <c r="A26" s="38" t="s">
        <v>5</v>
      </c>
      <c r="C26" s="23"/>
      <c r="D26" s="18"/>
      <c r="E26" s="24"/>
      <c r="F26" s="119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6"/>
      <c r="BF26" s="6"/>
      <c r="BG26" s="6"/>
      <c r="BH26" s="6"/>
    </row>
    <row r="27" spans="1:60" s="4" customFormat="1">
      <c r="A27" s="39">
        <f>H5</f>
        <v>35</v>
      </c>
      <c r="B27" s="4" t="s">
        <v>17</v>
      </c>
      <c r="D27" s="18" t="s">
        <v>118</v>
      </c>
      <c r="E27" s="24">
        <f>$H$4</f>
        <v>25</v>
      </c>
      <c r="F27" s="119" t="s">
        <v>119</v>
      </c>
      <c r="G27" s="17">
        <f>A27*H4</f>
        <v>875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6"/>
      <c r="BF27" s="6"/>
      <c r="BG27" s="6"/>
      <c r="BH27" s="6"/>
    </row>
    <row r="28" spans="1:60" s="4" customFormat="1">
      <c r="A28" s="40">
        <f>1-H7</f>
        <v>9.9999999999999978E-2</v>
      </c>
      <c r="B28" s="4" t="s">
        <v>8</v>
      </c>
      <c r="D28" s="18" t="s">
        <v>118</v>
      </c>
      <c r="E28" s="24">
        <f>$H$4</f>
        <v>25</v>
      </c>
      <c r="F28" s="119" t="s">
        <v>119</v>
      </c>
      <c r="G28" s="16"/>
      <c r="H28" s="17">
        <f>A28*A27*H4</f>
        <v>87.499999999999972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24"/>
      <c r="AB28" s="9"/>
      <c r="AC28" s="24"/>
      <c r="AD28" s="24"/>
      <c r="AE28" s="24"/>
      <c r="AF28" s="24"/>
      <c r="AG28" s="24"/>
      <c r="AH28" s="24"/>
      <c r="AI28" s="9"/>
      <c r="AJ28" s="24"/>
      <c r="AK28" s="24"/>
      <c r="AL28" s="24"/>
      <c r="AM28" s="24"/>
      <c r="AN28" s="24"/>
      <c r="AO28" s="24"/>
      <c r="AP28" s="9"/>
      <c r="AQ28" s="24"/>
      <c r="AR28" s="24"/>
      <c r="AS28" s="24"/>
      <c r="AT28" s="24"/>
      <c r="AU28" s="24"/>
      <c r="AV28" s="24"/>
      <c r="AW28" s="9"/>
      <c r="AX28" s="24"/>
      <c r="AY28" s="24"/>
      <c r="AZ28" s="24"/>
      <c r="BA28" s="24"/>
      <c r="BB28" s="24"/>
      <c r="BC28" s="24"/>
      <c r="BD28" s="9"/>
      <c r="BE28" s="6"/>
      <c r="BF28" s="6"/>
      <c r="BG28" s="6"/>
      <c r="BH28" s="6"/>
    </row>
    <row r="29" spans="1:60" s="4" customFormat="1">
      <c r="A29" s="38" t="s">
        <v>7</v>
      </c>
      <c r="B29" s="23"/>
      <c r="D29" s="18"/>
      <c r="E29" s="24"/>
      <c r="F29" s="119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6"/>
      <c r="BF29" s="6"/>
      <c r="BG29" s="6"/>
      <c r="BH29" s="6"/>
    </row>
    <row r="30" spans="1:60" s="4" customFormat="1">
      <c r="A30" s="37" t="s">
        <v>236</v>
      </c>
      <c r="B30" s="7"/>
      <c r="D30" s="18" t="s">
        <v>118</v>
      </c>
      <c r="E30" s="24">
        <f>'Yearly Input Information'!$C$35</f>
        <v>6.5</v>
      </c>
      <c r="F30" s="119" t="s">
        <v>18</v>
      </c>
      <c r="G30" s="17">
        <f>$E$30*'Yearly Input Information'!C66</f>
        <v>9.75</v>
      </c>
      <c r="H30" s="17">
        <f>$E$30*'Yearly Input Information'!D66*A28</f>
        <v>0.97499999999999976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6"/>
      <c r="BF30" s="6"/>
      <c r="BG30" s="6"/>
      <c r="BH30" s="6"/>
    </row>
    <row r="31" spans="1:60" s="4" customFormat="1">
      <c r="A31" s="37" t="str">
        <f>'Yearly Input Information'!A67</f>
        <v>Tree Shelters &amp; Placement</v>
      </c>
      <c r="B31" s="7"/>
      <c r="D31" s="18" t="s">
        <v>118</v>
      </c>
      <c r="E31" s="24">
        <f>'Yearly Input Information'!$C$35</f>
        <v>6.5</v>
      </c>
      <c r="F31" s="119" t="s">
        <v>18</v>
      </c>
      <c r="G31" s="17">
        <f>($E$31*'Yearly Input Information'!C67)+1</f>
        <v>7.5</v>
      </c>
      <c r="H31" s="17">
        <f>(($E$31*'Yearly Input Information'!D67)+1)*A28</f>
        <v>0.74999999999999978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6"/>
      <c r="BF31" s="6"/>
      <c r="BG31" s="6"/>
      <c r="BH31" s="6"/>
    </row>
    <row r="32" spans="1:60" s="82" customFormat="1" ht="16" thickBot="1">
      <c r="A32" s="35" t="s">
        <v>30</v>
      </c>
      <c r="B32" s="19"/>
      <c r="C32" s="81"/>
      <c r="D32" s="124" t="s">
        <v>118</v>
      </c>
      <c r="E32" s="125"/>
      <c r="F32" s="126"/>
      <c r="G32" s="125">
        <f t="shared" ref="G32:Z32" si="1">SUM(G18:G31)</f>
        <v>939.04399999999998</v>
      </c>
      <c r="H32" s="125">
        <f t="shared" si="1"/>
        <v>96.64549999999997</v>
      </c>
      <c r="I32" s="125">
        <f t="shared" si="1"/>
        <v>7.5689100000000007</v>
      </c>
      <c r="J32" s="125">
        <f t="shared" si="1"/>
        <v>7.7202882000000006</v>
      </c>
      <c r="K32" s="125">
        <f t="shared" si="1"/>
        <v>7.8746939640000013</v>
      </c>
      <c r="L32" s="125">
        <f t="shared" si="1"/>
        <v>8.0321878432800009</v>
      </c>
      <c r="M32" s="125">
        <f t="shared" si="1"/>
        <v>8.1928316001456025</v>
      </c>
      <c r="N32" s="125">
        <f t="shared" si="1"/>
        <v>8.3566882321485139</v>
      </c>
      <c r="O32" s="125">
        <f t="shared" si="1"/>
        <v>8.5238219967914848</v>
      </c>
      <c r="P32" s="125">
        <f t="shared" si="1"/>
        <v>8.6942984367273155</v>
      </c>
      <c r="Q32" s="125">
        <f t="shared" si="1"/>
        <v>8.8681844054618608</v>
      </c>
      <c r="R32" s="125">
        <f t="shared" si="1"/>
        <v>9.0455480935710995</v>
      </c>
      <c r="S32" s="125">
        <f t="shared" si="1"/>
        <v>9.2264590554425201</v>
      </c>
      <c r="T32" s="125">
        <f t="shared" si="1"/>
        <v>9.4109882365513702</v>
      </c>
      <c r="U32" s="125">
        <f t="shared" si="1"/>
        <v>9.5992080012823973</v>
      </c>
      <c r="V32" s="125">
        <f t="shared" si="1"/>
        <v>9.7911921613080448</v>
      </c>
      <c r="W32" s="125">
        <f t="shared" si="1"/>
        <v>9.9870160045342065</v>
      </c>
      <c r="X32" s="125">
        <f t="shared" si="1"/>
        <v>10.186756324624891</v>
      </c>
      <c r="Y32" s="125">
        <f t="shared" si="1"/>
        <v>10.39049145111739</v>
      </c>
      <c r="Z32" s="125">
        <f t="shared" si="1"/>
        <v>10.598301280139736</v>
      </c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8"/>
      <c r="BF32" s="128"/>
      <c r="BG32" s="128"/>
      <c r="BH32" s="128"/>
    </row>
    <row r="33" spans="1:60" s="4" customFormat="1">
      <c r="A33" s="37"/>
      <c r="B33" s="7"/>
      <c r="C33" s="47"/>
      <c r="D33" s="9"/>
      <c r="E33" s="24"/>
      <c r="F33" s="119"/>
      <c r="G33" s="16"/>
      <c r="H33" s="16"/>
      <c r="I33" s="16"/>
      <c r="J33" s="16"/>
      <c r="K33" s="16"/>
      <c r="L33" s="16"/>
      <c r="M33" s="1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</row>
    <row r="34" spans="1:60" s="4" customFormat="1" ht="16" thickBot="1">
      <c r="A34" s="135" t="s">
        <v>31</v>
      </c>
      <c r="B34" s="19"/>
      <c r="C34" s="21"/>
      <c r="D34" s="8"/>
      <c r="E34" s="21"/>
      <c r="F34" s="120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6"/>
      <c r="BF34" s="6"/>
      <c r="BG34" s="6"/>
      <c r="BH34" s="6"/>
    </row>
    <row r="35" spans="1:60" s="4" customFormat="1">
      <c r="A35" s="38" t="s">
        <v>22</v>
      </c>
      <c r="B35" s="7"/>
      <c r="D35" s="18"/>
      <c r="E35" s="24"/>
      <c r="F35" s="119"/>
      <c r="G35" s="16"/>
      <c r="H35" s="16"/>
      <c r="I35" s="16"/>
      <c r="J35" s="16"/>
      <c r="K35" s="16"/>
      <c r="L35" s="16"/>
      <c r="M35" s="1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</row>
    <row r="36" spans="1:60" s="4" customFormat="1">
      <c r="A36" s="88" t="str">
        <f>'Chemical Mixing Rates'!F15</f>
        <v>Urea (46-0-0)</v>
      </c>
      <c r="B36" s="7"/>
      <c r="D36" s="18" t="s">
        <v>118</v>
      </c>
      <c r="E36" s="24">
        <f>AVERAGE('Yearly Input Information'!C42:AZ42)</f>
        <v>0.60743424497294307</v>
      </c>
      <c r="F36" s="119" t="str">
        <f>'Yearly Input Information'!CU10</f>
        <v>$/lb</v>
      </c>
      <c r="G36" s="17">
        <v>0</v>
      </c>
      <c r="H36" s="17">
        <f>(('Chemical Mixing Rates'!$G$15*'Yearly Input Information'!D42)+('Chemical Mixing Rates'!$I$15*'Yearly Input Information'!D49)+('Yearly Input Information'!$DE$10))*'Chemical Mixing Rates'!$M$15</f>
        <v>51</v>
      </c>
      <c r="I36" s="17">
        <f>(('Chemical Mixing Rates'!$G$15*'Yearly Input Information'!E42)+('Chemical Mixing Rates'!$I$15*'Yearly Input Information'!E49)+('Yearly Input Information'!$DE$10))*'Chemical Mixing Rates'!$M$15</f>
        <v>52.019999999999996</v>
      </c>
      <c r="J36" s="17">
        <f>(('Chemical Mixing Rates'!$G$15*'Yearly Input Information'!F42)+('Chemical Mixing Rates'!$I$15*'Yearly Input Information'!F49)+('Yearly Input Information'!$DE$10))*'Chemical Mixing Rates'!$M$15</f>
        <v>53.060399999999994</v>
      </c>
      <c r="K36" s="17">
        <f>(('Chemical Mixing Rates'!$G$15*'Yearly Input Information'!G42)+('Chemical Mixing Rates'!$I$15*'Yearly Input Information'!G49)+('Yearly Input Information'!$DE$10))*'Chemical Mixing Rates'!$M$15</f>
        <v>54.121608000000002</v>
      </c>
      <c r="L36" s="17">
        <f>(('Chemical Mixing Rates'!$G$15*'Yearly Input Information'!H42)+('Chemical Mixing Rates'!$I$15*'Yearly Input Information'!H49)+('Yearly Input Information'!$DE$10))*'Chemical Mixing Rates'!$M$15</f>
        <v>55.204040159999998</v>
      </c>
      <c r="M36" s="17">
        <f>(('Chemical Mixing Rates'!$G$15*'Yearly Input Information'!I42)+('Chemical Mixing Rates'!$I$15*'Yearly Input Information'!I49)+('Yearly Input Information'!$DE$10))*'Chemical Mixing Rates'!$M$15</f>
        <v>56.308120963200004</v>
      </c>
      <c r="N36" s="17">
        <f>(('Chemical Mixing Rates'!$G$15*'Yearly Input Information'!J42)+('Chemical Mixing Rates'!$I$15*'Yearly Input Information'!J49)+('Yearly Input Information'!$DE$10))*'Chemical Mixing Rates'!$M$15</f>
        <v>57.434283382464002</v>
      </c>
      <c r="O36" s="17">
        <f>(('Chemical Mixing Rates'!$G$15*'Yearly Input Information'!K42)+('Chemical Mixing Rates'!$I$15*'Yearly Input Information'!K49)+('Yearly Input Information'!$DE$10))*'Chemical Mixing Rates'!$M$15</f>
        <v>58.582969050113284</v>
      </c>
      <c r="P36" s="17">
        <f>(('Chemical Mixing Rates'!$G$15*'Yearly Input Information'!L42)+('Chemical Mixing Rates'!$I$15*'Yearly Input Information'!L49)+('Yearly Input Information'!$DE$10))*'Chemical Mixing Rates'!$M$15</f>
        <v>59.754628431115556</v>
      </c>
      <c r="Q36" s="17">
        <f>(('Chemical Mixing Rates'!$G$15*'Yearly Input Information'!M42)+('Chemical Mixing Rates'!$I$15*'Yearly Input Information'!M49)+('Yearly Input Information'!$DE$10))*'Chemical Mixing Rates'!$M$15</f>
        <v>60.949720999737863</v>
      </c>
      <c r="R36" s="17">
        <f>(('Chemical Mixing Rates'!$G$15*'Yearly Input Information'!N42)+('Chemical Mixing Rates'!$I$15*'Yearly Input Information'!N49)+('Yearly Input Information'!$DE$10))*'Chemical Mixing Rates'!$M$15</f>
        <v>62.168715419732621</v>
      </c>
      <c r="S36" s="17">
        <f>(('Chemical Mixing Rates'!$G$15*'Yearly Input Information'!O42)+('Chemical Mixing Rates'!$I$15*'Yearly Input Information'!O49)+('Yearly Input Information'!$DE$10))*'Chemical Mixing Rates'!$M$15</f>
        <v>63.412089728127278</v>
      </c>
      <c r="T36" s="17">
        <f>(('Chemical Mixing Rates'!$G$15*'Yearly Input Information'!P42)+('Chemical Mixing Rates'!$I$15*'Yearly Input Information'!P49)+('Yearly Input Information'!$DE$10))*'Chemical Mixing Rates'!$M$15</f>
        <v>64.680331522689812</v>
      </c>
      <c r="U36" s="17">
        <f>(('Chemical Mixing Rates'!$G$15*'Yearly Input Information'!Q42)+('Chemical Mixing Rates'!$I$15*'Yearly Input Information'!Q49)+('Yearly Input Information'!$DE$10))*'Chemical Mixing Rates'!$M$15</f>
        <v>65.973938153143621</v>
      </c>
      <c r="V36" s="17">
        <f>(('Chemical Mixing Rates'!$G$15*'Yearly Input Information'!R42)+('Chemical Mixing Rates'!$I$15*'Yearly Input Information'!R49)+('Yearly Input Information'!$DE$10))*'Chemical Mixing Rates'!$M$15</f>
        <v>67.293416916206496</v>
      </c>
      <c r="W36" s="17">
        <f>(('Chemical Mixing Rates'!$G$15*'Yearly Input Information'!S42)+('Chemical Mixing Rates'!$I$15*'Yearly Input Information'!S49)+('Yearly Input Information'!$DE$10))*'Chemical Mixing Rates'!$M$15</f>
        <v>68.63928525453062</v>
      </c>
      <c r="X36" s="17">
        <f>(('Chemical Mixing Rates'!$G$15*'Yearly Input Information'!T42)+('Chemical Mixing Rates'!$I$15*'Yearly Input Information'!T49)+('Yearly Input Information'!$DE$10))*'Chemical Mixing Rates'!$M$15</f>
        <v>70.012070959621241</v>
      </c>
      <c r="Y36" s="17">
        <f>(('Chemical Mixing Rates'!$G$15*'Yearly Input Information'!U42)+('Chemical Mixing Rates'!$I$15*'Yearly Input Information'!U49)+('Yearly Input Information'!$DE$10))*'Chemical Mixing Rates'!$M$15</f>
        <v>71.412312378813667</v>
      </c>
      <c r="Z36" s="17">
        <f>(('Chemical Mixing Rates'!$G$15*'Yearly Input Information'!V42)+('Chemical Mixing Rates'!$I$15*'Yearly Input Information'!V49)+('Yearly Input Information'!$DE$10))*'Chemical Mixing Rates'!$M$15</f>
        <v>72.840558626389935</v>
      </c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6"/>
      <c r="BF36" s="6"/>
      <c r="BG36" s="6"/>
      <c r="BH36" s="6"/>
    </row>
    <row r="37" spans="1:60" s="4" customFormat="1">
      <c r="A37" s="88" t="str">
        <f>'Chemical Mixing Rates'!F16</f>
        <v>Nickel</v>
      </c>
      <c r="B37" s="7"/>
      <c r="D37" s="18" t="s">
        <v>118</v>
      </c>
      <c r="E37" s="24">
        <f>AVERAGE('Yearly Input Information'!C43:AZ43)</f>
        <v>6.9854938171888463</v>
      </c>
      <c r="F37" s="119" t="str">
        <f>'Yearly Input Information'!CU11</f>
        <v>$/pt</v>
      </c>
      <c r="G37" s="17">
        <f>(('Chemical Mixing Rates'!$G$16*'Yearly Input Information'!C43)+('Chemical Mixing Rates'!$I$16*'Yearly Input Information'!C49)+('Yearly Input Information'!$DE$11))*'Chemical Mixing Rates'!$M$16</f>
        <v>0</v>
      </c>
      <c r="H37" s="17">
        <f>(('Chemical Mixing Rates'!$G$16*'Yearly Input Information'!D43)+('Chemical Mixing Rates'!$I$16*'Yearly Input Information'!D49)+('Yearly Input Information'!$DE$11))*'Chemical Mixing Rates'!$M$16</f>
        <v>0</v>
      </c>
      <c r="I37" s="17">
        <f>(('Chemical Mixing Rates'!$G$16*'Yearly Input Information'!E43)+('Chemical Mixing Rates'!$I$16*'Yearly Input Information'!E49)+('Yearly Input Information'!$DE$11))*'Chemical Mixing Rates'!$M$16</f>
        <v>0</v>
      </c>
      <c r="J37" s="17">
        <f>(('Chemical Mixing Rates'!$G$16*'Yearly Input Information'!F43)+('Chemical Mixing Rates'!$I$16*'Yearly Input Information'!F49)+('Yearly Input Information'!$DE$11))*'Chemical Mixing Rates'!$M$16</f>
        <v>0</v>
      </c>
      <c r="K37" s="17">
        <f>(('Chemical Mixing Rates'!$G$16*'Yearly Input Information'!G43)+('Chemical Mixing Rates'!$I$16*'Yearly Input Information'!G49)+('Yearly Input Information'!$DE$11))*'Chemical Mixing Rates'!$M$16</f>
        <v>0</v>
      </c>
      <c r="L37" s="17">
        <f>(('Chemical Mixing Rates'!$G$16*'Yearly Input Information'!H43)+('Chemical Mixing Rates'!$I$16*'Yearly Input Information'!H49)+('Yearly Input Information'!$DE$11))*'Chemical Mixing Rates'!$M$16</f>
        <v>0</v>
      </c>
      <c r="M37" s="17">
        <f>(('Chemical Mixing Rates'!$G$16*'Yearly Input Information'!I43)+('Chemical Mixing Rates'!$I$16*'Yearly Input Information'!I49)+('Yearly Input Information'!$DE$11))*'Chemical Mixing Rates'!$M$16</f>
        <v>0</v>
      </c>
      <c r="N37" s="17">
        <f>(('Chemical Mixing Rates'!$G$16*'Yearly Input Information'!J43)+('Chemical Mixing Rates'!$I$16*'Yearly Input Information'!J49)+('Yearly Input Information'!$DE$11))*'Chemical Mixing Rates'!$M$16</f>
        <v>0</v>
      </c>
      <c r="O37" s="17">
        <f>(('Chemical Mixing Rates'!$G$16*'Yearly Input Information'!K43)+('Chemical Mixing Rates'!$I$16*'Yearly Input Information'!K49)+('Yearly Input Information'!$DE$11))*'Chemical Mixing Rates'!$M$16</f>
        <v>0</v>
      </c>
      <c r="P37" s="17">
        <f>(('Chemical Mixing Rates'!$G$16*'Yearly Input Information'!L43)+('Chemical Mixing Rates'!$I$16*'Yearly Input Information'!L49)+('Yearly Input Information'!$DE$11))*'Chemical Mixing Rates'!$M$16</f>
        <v>0</v>
      </c>
      <c r="Q37" s="17">
        <f>(('Chemical Mixing Rates'!$G$16*'Yearly Input Information'!M43)+('Chemical Mixing Rates'!$I$16*'Yearly Input Information'!M49)+('Yearly Input Information'!$DE$11))*'Chemical Mixing Rates'!$M$16</f>
        <v>0</v>
      </c>
      <c r="R37" s="17">
        <f>(('Chemical Mixing Rates'!$G$16*'Yearly Input Information'!N43)+('Chemical Mixing Rates'!$I$16*'Yearly Input Information'!N49)+('Yearly Input Information'!$DE$11))*'Chemical Mixing Rates'!$M$16</f>
        <v>0</v>
      </c>
      <c r="S37" s="17">
        <f>(('Chemical Mixing Rates'!$G$16*'Yearly Input Information'!O43)+('Chemical Mixing Rates'!$I$16*'Yearly Input Information'!O49)+('Yearly Input Information'!$DE$11))*'Chemical Mixing Rates'!$M$16</f>
        <v>0</v>
      </c>
      <c r="T37" s="17">
        <f>(('Chemical Mixing Rates'!$G$16*'Yearly Input Information'!P43)+('Chemical Mixing Rates'!$I$16*'Yearly Input Information'!P49)+('Yearly Input Information'!$DE$11))*'Chemical Mixing Rates'!$M$16</f>
        <v>0</v>
      </c>
      <c r="U37" s="17">
        <f>(('Chemical Mixing Rates'!$G$16*'Yearly Input Information'!Q43)+('Chemical Mixing Rates'!$I$16*'Yearly Input Information'!Q49)+('Yearly Input Information'!$DE$11))*'Chemical Mixing Rates'!$M$16</f>
        <v>0</v>
      </c>
      <c r="V37" s="17">
        <f>(('Chemical Mixing Rates'!$G$16*'Yearly Input Information'!R43)+('Chemical Mixing Rates'!$I$16*'Yearly Input Information'!R49)+('Yearly Input Information'!$DE$11))*'Chemical Mixing Rates'!$M$16</f>
        <v>0</v>
      </c>
      <c r="W37" s="17">
        <f>(('Chemical Mixing Rates'!$G$16*'Yearly Input Information'!S43)+('Chemical Mixing Rates'!$I$16*'Yearly Input Information'!S49)+('Yearly Input Information'!$DE$11))*'Chemical Mixing Rates'!$M$16</f>
        <v>0</v>
      </c>
      <c r="X37" s="17">
        <f>(('Chemical Mixing Rates'!$G$16*'Yearly Input Information'!T43)+('Chemical Mixing Rates'!$I$16*'Yearly Input Information'!T49)+('Yearly Input Information'!$DE$11))*'Chemical Mixing Rates'!$M$16</f>
        <v>0</v>
      </c>
      <c r="Y37" s="17">
        <f>(('Chemical Mixing Rates'!$G$16*'Yearly Input Information'!U43)+('Chemical Mixing Rates'!$I$16*'Yearly Input Information'!U49)+('Yearly Input Information'!$DE$11))*'Chemical Mixing Rates'!$M$16</f>
        <v>0</v>
      </c>
      <c r="Z37" s="17">
        <f>(('Chemical Mixing Rates'!$G$16*'Yearly Input Information'!V43)+('Chemical Mixing Rates'!$I$16*'Yearly Input Information'!V49)+('Yearly Input Information'!$DE$11))*'Chemical Mixing Rates'!$M$16</f>
        <v>0</v>
      </c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6"/>
      <c r="BF37" s="6"/>
      <c r="BG37" s="6"/>
      <c r="BH37" s="6"/>
    </row>
    <row r="38" spans="1:60" s="4" customFormat="1">
      <c r="A38" s="88" t="str">
        <f>'Chemical Mixing Rates'!F17</f>
        <v>Zinc Yrs 1-4</v>
      </c>
      <c r="B38" s="7"/>
      <c r="D38" s="18" t="s">
        <v>118</v>
      </c>
      <c r="E38" s="24">
        <f>AVERAGE('Yearly Input Information'!C44:AZ44)</f>
        <v>1.2027198050464274</v>
      </c>
      <c r="F38" s="119" t="str">
        <f>'Yearly Input Information'!CU12</f>
        <v>$/lb</v>
      </c>
      <c r="G38" s="17">
        <f>(('Chemical Mixing Rates'!$G$17*'Yearly Input Information'!C44)+('Chemical Mixing Rates'!$I$17*'Yearly Input Information'!C49))+('Yearly Input Information'!$DE$12)*'Chemical Mixing Rates'!$M$17</f>
        <v>6.2960000000000003</v>
      </c>
      <c r="H38" s="17">
        <f>(('Chemical Mixing Rates'!$G$17*'Yearly Input Information'!D44)+('Chemical Mixing Rates'!$I$17*'Yearly Input Information'!D49))+('Yearly Input Information'!$DE$12)*'Chemical Mixing Rates'!$M$17</f>
        <v>6.4039200000000012</v>
      </c>
      <c r="I38" s="17">
        <f>(('Chemical Mixing Rates'!$G$17*'Yearly Input Information'!E44)+('Chemical Mixing Rates'!$I$17*'Yearly Input Information'!E49))+('Yearly Input Information'!$DE$12)*'Chemical Mixing Rates'!$M$17</f>
        <v>6.5139984000000002</v>
      </c>
      <c r="J38" s="17">
        <f>(('Chemical Mixing Rates'!$G$17*'Yearly Input Information'!F44)+('Chemical Mixing Rates'!$I$17*'Yearly Input Information'!F49))+('Yearly Input Information'!$DE$12)*'Chemical Mixing Rates'!$M$17</f>
        <v>6.6262783680000013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6"/>
      <c r="BF38" s="6"/>
      <c r="BG38" s="6"/>
      <c r="BH38" s="6"/>
    </row>
    <row r="39" spans="1:60" s="4" customFormat="1">
      <c r="A39" s="88" t="str">
        <f>'Chemical Mixing Rates'!F18</f>
        <v>Zinc Yrs 5-50</v>
      </c>
      <c r="B39" s="7"/>
      <c r="D39" s="18" t="s">
        <v>118</v>
      </c>
      <c r="E39" s="24">
        <f>AVERAGE('Yearly Input Information'!C45:AZ45)</f>
        <v>1.2027198050464274</v>
      </c>
      <c r="F39" s="119" t="str">
        <f>'Yearly Input Information'!CU13</f>
        <v>$/lb</v>
      </c>
      <c r="G39" s="17"/>
      <c r="H39" s="17"/>
      <c r="I39" s="17"/>
      <c r="J39" s="17"/>
      <c r="K39" s="17">
        <f>(('Chemical Mixing Rates'!$G$18*'Yearly Input Information'!G45)+('Chemical Mixing Rates'!$I$18*'Yearly Input Information'!G49))+('Yearly Input Information'!$DE$12)*'Chemical Mixing Rates'!$M$17</f>
        <v>12.741807830400001</v>
      </c>
      <c r="L39" s="17">
        <f>(('Chemical Mixing Rates'!$G$18*'Yearly Input Information'!H45)+('Chemical Mixing Rates'!$I$18*'Yearly Input Information'!H49))+('Yearly Input Information'!$DE$12)*'Chemical Mixing Rates'!$M$17</f>
        <v>12.978643987008001</v>
      </c>
      <c r="M39" s="17">
        <f>(('Chemical Mixing Rates'!$G$18*'Yearly Input Information'!I45)+('Chemical Mixing Rates'!$I$18*'Yearly Input Information'!I49))+('Yearly Input Information'!$DE$12)*'Chemical Mixing Rates'!$M$17</f>
        <v>13.220216866748162</v>
      </c>
      <c r="N39" s="17">
        <f>(('Chemical Mixing Rates'!$G$18*'Yearly Input Information'!J45)+('Chemical Mixing Rates'!$I$18*'Yearly Input Information'!J49))+('Yearly Input Information'!$DE$12)*'Chemical Mixing Rates'!$M$17</f>
        <v>13.466621204083124</v>
      </c>
      <c r="O39" s="17">
        <f>(('Chemical Mixing Rates'!$G$18*'Yearly Input Information'!K45)+('Chemical Mixing Rates'!$I$18*'Yearly Input Information'!K49))+('Yearly Input Information'!$DE$12)*'Chemical Mixing Rates'!$M$17</f>
        <v>13.717953628164787</v>
      </c>
      <c r="P39" s="17">
        <f>(('Chemical Mixing Rates'!$G$18*'Yearly Input Information'!L45)+('Chemical Mixing Rates'!$I$18*'Yearly Input Information'!L49))+('Yearly Input Information'!$DE$12)*'Chemical Mixing Rates'!$M$17</f>
        <v>13.974312700728083</v>
      </c>
      <c r="Q39" s="17">
        <f>(('Chemical Mixing Rates'!$G$18*'Yearly Input Information'!M45)+('Chemical Mixing Rates'!$I$18*'Yearly Input Information'!M49))+('Yearly Input Information'!$DE$12)*'Chemical Mixing Rates'!$M$17</f>
        <v>14.235798954742647</v>
      </c>
      <c r="R39" s="17">
        <f>(('Chemical Mixing Rates'!$G$18*'Yearly Input Information'!N45)+('Chemical Mixing Rates'!$I$18*'Yearly Input Information'!N49))+('Yearly Input Information'!$DE$12)*'Chemical Mixing Rates'!$M$17</f>
        <v>14.502514933837498</v>
      </c>
      <c r="S39" s="17">
        <f>(('Chemical Mixing Rates'!$G$18*'Yearly Input Information'!O45)+('Chemical Mixing Rates'!$I$18*'Yearly Input Information'!O49))+('Yearly Input Information'!$DE$12)*'Chemical Mixing Rates'!$M$17</f>
        <v>14.774565232514249</v>
      </c>
      <c r="T39" s="17">
        <f>(('Chemical Mixing Rates'!$G$18*'Yearly Input Information'!P45)+('Chemical Mixing Rates'!$I$18*'Yearly Input Information'!P49))+('Yearly Input Information'!$DE$12)*'Chemical Mixing Rates'!$M$17</f>
        <v>15.052056537164534</v>
      </c>
      <c r="U39" s="17">
        <f>(('Chemical Mixing Rates'!$G$18*'Yearly Input Information'!Q45)+('Chemical Mixing Rates'!$I$18*'Yearly Input Information'!Q49))+('Yearly Input Information'!$DE$12)*'Chemical Mixing Rates'!$M$17</f>
        <v>15.335097667907824</v>
      </c>
      <c r="V39" s="17">
        <f>(('Chemical Mixing Rates'!$G$18*'Yearly Input Information'!R45)+('Chemical Mixing Rates'!$I$18*'Yearly Input Information'!R49))+('Yearly Input Information'!$DE$12)*'Chemical Mixing Rates'!$M$17</f>
        <v>15.623799621265983</v>
      </c>
      <c r="W39" s="17">
        <f>(('Chemical Mixing Rates'!$G$18*'Yearly Input Information'!S45)+('Chemical Mixing Rates'!$I$18*'Yearly Input Information'!S49))+('Yearly Input Information'!$DE$12)*'Chemical Mixing Rates'!$M$17</f>
        <v>15.918275613691302</v>
      </c>
      <c r="X39" s="17">
        <f>(('Chemical Mixing Rates'!$G$18*'Yearly Input Information'!T45)+('Chemical Mixing Rates'!$I$18*'Yearly Input Information'!T49))+('Yearly Input Information'!$DE$12)*'Chemical Mixing Rates'!$M$17</f>
        <v>16.218641125965124</v>
      </c>
      <c r="Y39" s="17">
        <f>(('Chemical Mixing Rates'!$G$18*'Yearly Input Information'!U45)+('Chemical Mixing Rates'!$I$18*'Yearly Input Information'!U49))+('Yearly Input Information'!$DE$12)*'Chemical Mixing Rates'!$M$17</f>
        <v>16.525013948484428</v>
      </c>
      <c r="Z39" s="17">
        <f>(('Chemical Mixing Rates'!$G$18*'Yearly Input Information'!V45)+('Chemical Mixing Rates'!$I$18*'Yearly Input Information'!V49))+('Yearly Input Information'!$DE$12)*'Chemical Mixing Rates'!$M$17</f>
        <v>16.837514227454118</v>
      </c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6"/>
      <c r="BF39" s="6"/>
      <c r="BG39" s="6"/>
      <c r="BH39" s="6"/>
    </row>
    <row r="40" spans="1:60" s="4" customFormat="1">
      <c r="A40" s="88" t="str">
        <f>'Chemical Mixing Rates'!F19</f>
        <v>DAP (18-46-0)</v>
      </c>
      <c r="B40" s="7"/>
      <c r="D40" s="18" t="s">
        <v>118</v>
      </c>
      <c r="E40" s="24">
        <f>AVERAGE('Yearly Input Information'!C46:AZ46)</f>
        <v>0.3158658073859304</v>
      </c>
      <c r="F40" s="119" t="str">
        <f>'Yearly Input Information'!CU14</f>
        <v>$/lb</v>
      </c>
      <c r="G40" s="17">
        <f>(('Chemical Mixing Rates'!$G$19*'Yearly Input Information'!C46)+('Chemical Mixing Rates'!$I$19*'Yearly Input Information'!C49)+('Yearly Input Information'!$DE$14))*'Chemical Mixing Rates'!$M$19</f>
        <v>7.8000000000000007</v>
      </c>
      <c r="H40" s="17"/>
      <c r="I40" s="17"/>
      <c r="J40" s="17"/>
      <c r="K40" s="17"/>
      <c r="L40" s="17">
        <f>(('Chemical Mixing Rates'!$G$19*'Yearly Input Information'!H46)+('Chemical Mixing Rates'!$I$19*'Yearly Input Information'!H49)+('Yearly Input Information'!$DE$14))*'Chemical Mixing Rates'!$M$19</f>
        <v>8.6118302649600018</v>
      </c>
      <c r="M40" s="17"/>
      <c r="N40" s="17"/>
      <c r="O40" s="17"/>
      <c r="P40" s="17"/>
      <c r="Q40" s="17">
        <f>(('Chemical Mixing Rates'!$G$19*'Yearly Input Information'!M46)+('Chemical Mixing Rates'!$I$19*'Yearly Input Information'!M49)+('Yearly Input Information'!$DE$14))*'Chemical Mixing Rates'!$M$19</f>
        <v>9.5081564759591082</v>
      </c>
      <c r="R40" s="17">
        <f>(('Chemical Mixing Rates'!$G$19*'Yearly Input Information'!N46)+('Chemical Mixing Rates'!$I$19*'Yearly Input Information'!N49)+('Yearly Input Information'!$DE$14))*'Chemical Mixing Rates'!$M$19</f>
        <v>9.6983196054782912</v>
      </c>
      <c r="S40" s="17">
        <f>(('Chemical Mixing Rates'!$G$19*'Yearly Input Information'!O46)+('Chemical Mixing Rates'!$I$19*'Yearly Input Information'!O49)+('Yearly Input Information'!$DE$14))*'Chemical Mixing Rates'!$M$19</f>
        <v>9.892285997587857</v>
      </c>
      <c r="T40" s="17">
        <f>(('Chemical Mixing Rates'!$G$19*'Yearly Input Information'!P46)+('Chemical Mixing Rates'!$I$19*'Yearly Input Information'!P49)+('Yearly Input Information'!$DE$14))*'Chemical Mixing Rates'!$M$19</f>
        <v>10.090131717539615</v>
      </c>
      <c r="U40" s="17">
        <f>(('Chemical Mixing Rates'!$G$19*'Yearly Input Information'!Q46)+('Chemical Mixing Rates'!$I$19*'Yearly Input Information'!Q49)+('Yearly Input Information'!$DE$14))*'Chemical Mixing Rates'!$M$19</f>
        <v>10.291934351890408</v>
      </c>
      <c r="V40" s="17">
        <f>(('Chemical Mixing Rates'!$G$19*'Yearly Input Information'!R46)+('Chemical Mixing Rates'!$I$19*'Yearly Input Information'!R49)+('Yearly Input Information'!$DE$14))*'Chemical Mixing Rates'!$M$19</f>
        <v>10.497773038928214</v>
      </c>
      <c r="W40" s="17">
        <f>(('Chemical Mixing Rates'!$G$19*'Yearly Input Information'!S46)+('Chemical Mixing Rates'!$I$19*'Yearly Input Information'!S49)+('Yearly Input Information'!$DE$14))*'Chemical Mixing Rates'!$M$19</f>
        <v>10.707728499706779</v>
      </c>
      <c r="X40" s="17">
        <f>(('Chemical Mixing Rates'!$G$19*'Yearly Input Information'!T46)+('Chemical Mixing Rates'!$I$19*'Yearly Input Information'!T49)+('Yearly Input Information'!$DE$14))*'Chemical Mixing Rates'!$M$19</f>
        <v>10.921883069700915</v>
      </c>
      <c r="Y40" s="17">
        <f>(('Chemical Mixing Rates'!$G$19*'Yearly Input Information'!U46)+('Chemical Mixing Rates'!$I$19*'Yearly Input Information'!U49)+('Yearly Input Information'!$DE$14))*'Chemical Mixing Rates'!$M$19</f>
        <v>11.140320731094933</v>
      </c>
      <c r="Z40" s="17">
        <f>(('Chemical Mixing Rates'!$G$19*'Yearly Input Information'!V46)+('Chemical Mixing Rates'!$I$19*'Yearly Input Information'!V49)+('Yearly Input Information'!$DE$14))*'Chemical Mixing Rates'!$M$19</f>
        <v>11.363127145716833</v>
      </c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6"/>
      <c r="BF40" s="6"/>
      <c r="BG40" s="6"/>
      <c r="BH40" s="6"/>
    </row>
    <row r="41" spans="1:60" s="4" customFormat="1">
      <c r="A41" s="88" t="str">
        <f>'Chemical Mixing Rates'!F20</f>
        <v>Potash (0-0-60)</v>
      </c>
      <c r="B41" s="7"/>
      <c r="D41" s="18" t="s">
        <v>118</v>
      </c>
      <c r="E41" s="24">
        <f>AVERAGE('Yearly Input Information'!C47:AZ47)</f>
        <v>0.27941975268755376</v>
      </c>
      <c r="F41" s="119" t="str">
        <f>'Yearly Input Information'!CU15</f>
        <v>$/lb</v>
      </c>
      <c r="G41" s="17">
        <f>(('Chemical Mixing Rates'!$G$20*'Yearly Input Information'!C47)+('Chemical Mixing Rates'!$I$20*'Yearly Input Information'!C49)+('Yearly Input Information'!$DE$15))*'Chemical Mixing Rates'!$M$20</f>
        <v>6.9</v>
      </c>
      <c r="H41" s="17"/>
      <c r="I41" s="17"/>
      <c r="J41" s="17"/>
      <c r="K41" s="17"/>
      <c r="L41" s="17">
        <f>(('Chemical Mixing Rates'!$G$20*'Yearly Input Information'!H47)+('Chemical Mixing Rates'!$I$20*'Yearly Input Information'!H49)+('Yearly Input Information'!$DE$15))*'Chemical Mixing Rates'!$M$20</f>
        <v>7.6181575420800005</v>
      </c>
      <c r="M41" s="17"/>
      <c r="N41" s="17"/>
      <c r="O41" s="17"/>
      <c r="P41" s="17"/>
      <c r="Q41" s="17">
        <f>(('Chemical Mixing Rates'!$G$20*'Yearly Input Information'!M47)+('Chemical Mixing Rates'!$I$20*'Yearly Input Information'!M49)+('Yearly Input Information'!$DE$15))*'Chemical Mixing Rates'!$M$20</f>
        <v>8.4110614979638267</v>
      </c>
      <c r="R41" s="17"/>
      <c r="S41" s="17"/>
      <c r="T41" s="17"/>
      <c r="U41" s="17"/>
      <c r="V41" s="17">
        <f>(('Chemical Mixing Rates'!$G$20*'Yearly Input Information'!R47)+('Chemical Mixing Rates'!$I$20*'Yearly Input Information'!R49)+('Yearly Input Information'!$DE$15))*'Chemical Mixing Rates'!$M$20</f>
        <v>9.2864915344364967</v>
      </c>
      <c r="W41" s="17"/>
      <c r="X41" s="17"/>
      <c r="Y41" s="17"/>
      <c r="Z41" s="17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6"/>
      <c r="BF41" s="6"/>
      <c r="BG41" s="6"/>
      <c r="BH41" s="6"/>
    </row>
    <row r="42" spans="1:60" s="4" customFormat="1">
      <c r="A42" s="88" t="str">
        <f>'Chemical Mixing Rates'!F21</f>
        <v>Manganese</v>
      </c>
      <c r="B42" s="7"/>
      <c r="D42" s="18" t="s">
        <v>118</v>
      </c>
      <c r="E42" s="24">
        <f>AVERAGE('Yearly Input Information'!C48:AZ48)</f>
        <v>1.0326382164540029</v>
      </c>
      <c r="F42" s="119" t="str">
        <f>'Yearly Input Information'!CU16</f>
        <v>$/lb</v>
      </c>
      <c r="G42" s="17">
        <f>(('Chemical Mixing Rates'!$G$21*'Yearly Input Information'!C48)+('Chemical Mixing Rates'!$I$21*'Yearly Input Information'!C49)+('Yearly Input Information'!$DE$16))*'Chemical Mixing Rates'!$M$21</f>
        <v>0</v>
      </c>
      <c r="H42" s="17"/>
      <c r="I42" s="17"/>
      <c r="J42" s="17"/>
      <c r="K42" s="17"/>
      <c r="L42" s="17">
        <f>(('Chemical Mixing Rates'!$G$21*'Yearly Input Information'!H48)+('Chemical Mixing Rates'!$I$21*'Yearly Input Information'!H49)+('Yearly Input Information'!$DE$16))*'Chemical Mixing Rates'!$M$21</f>
        <v>0</v>
      </c>
      <c r="M42" s="17"/>
      <c r="N42" s="17"/>
      <c r="O42" s="17"/>
      <c r="P42" s="17"/>
      <c r="Q42" s="17">
        <f>(('Chemical Mixing Rates'!$G$21*'Yearly Input Information'!M48)+('Chemical Mixing Rates'!$I$21*'Yearly Input Information'!M49)+('Yearly Input Information'!$DE$16))*'Chemical Mixing Rates'!$M$21</f>
        <v>0</v>
      </c>
      <c r="R42" s="17"/>
      <c r="S42" s="17"/>
      <c r="T42" s="17"/>
      <c r="U42" s="17"/>
      <c r="V42" s="17">
        <f>(('Chemical Mixing Rates'!$G$21*'Yearly Input Information'!R48)+('Chemical Mixing Rates'!$I$21*'Yearly Input Information'!R49)+('Yearly Input Information'!$DE$16))*'Chemical Mixing Rates'!$M$21</f>
        <v>0</v>
      </c>
      <c r="W42" s="17"/>
      <c r="X42" s="17"/>
      <c r="Y42" s="17"/>
      <c r="Z42" s="17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6"/>
      <c r="BF42" s="6"/>
      <c r="BG42" s="6"/>
      <c r="BH42" s="6"/>
    </row>
    <row r="43" spans="1:60" s="4" customFormat="1">
      <c r="A43" s="38" t="s">
        <v>92</v>
      </c>
      <c r="B43" s="7"/>
      <c r="D43" s="18"/>
      <c r="E43" s="24"/>
      <c r="F43" s="119"/>
      <c r="G43" s="100"/>
      <c r="H43" s="100"/>
      <c r="I43" s="100"/>
      <c r="J43" s="100"/>
      <c r="K43" s="100"/>
      <c r="L43" s="100"/>
      <c r="M43" s="100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</row>
    <row r="44" spans="1:60" s="4" customFormat="1">
      <c r="A44" s="88" t="str">
        <f>'Chemical Mixing Rates'!F8</f>
        <v>Intrepid</v>
      </c>
      <c r="B44" s="7"/>
      <c r="D44" s="18" t="s">
        <v>118</v>
      </c>
      <c r="E44" s="24">
        <f>AVERAGE('Yearly Input Information'!C36:AZ36)</f>
        <v>2.6243057614846679</v>
      </c>
      <c r="F44" s="119" t="str">
        <f>'Yearly Input Information'!CU3</f>
        <v>$/oz</v>
      </c>
      <c r="G44" s="100"/>
      <c r="H44" s="100"/>
      <c r="I44" s="100"/>
      <c r="J44" s="100"/>
      <c r="K44" s="100">
        <f>(('Yearly Input Information'!G36*'Chemical Mixing Rates'!$G$8)+('Yearly Input Information'!G49*'Chemical Mixing Rates'!$I$8)+('Yearly Input Information'!$DE$3))*'Chemical Mixing Rates'!$M$8</f>
        <v>19.553996373750007</v>
      </c>
      <c r="L44" s="100">
        <f>(('Yearly Input Information'!H36*'Chemical Mixing Rates'!$G$8)+('Yearly Input Information'!H49*'Chemical Mixing Rates'!$I$8)+('Yearly Input Information'!$DE$3))*'Chemical Mixing Rates'!$M$8</f>
        <v>19.942826301225004</v>
      </c>
      <c r="M44" s="100">
        <f>(('Yearly Input Information'!I36*'Chemical Mixing Rates'!$G$8)+('Yearly Input Information'!I49*'Chemical Mixing Rates'!$I$8)+('Yearly Input Information'!$DE$3))*'Chemical Mixing Rates'!$M$8</f>
        <v>20.339432827249503</v>
      </c>
      <c r="N44" s="100">
        <f>(('Yearly Input Information'!J36*'Chemical Mixing Rates'!$G$8)+('Yearly Input Information'!J49*'Chemical Mixing Rates'!$I$8)+('Yearly Input Information'!$DE$3))*'Chemical Mixing Rates'!$M$8</f>
        <v>20.743971483794493</v>
      </c>
      <c r="O44" s="100">
        <f>(('Yearly Input Information'!K36*'Chemical Mixing Rates'!$G$8)+('Yearly Input Information'!K49*'Chemical Mixing Rates'!$I$8)+('Yearly Input Information'!$DE$3))*'Chemical Mixing Rates'!$M$8</f>
        <v>21.156600913470385</v>
      </c>
      <c r="P44" s="100">
        <f>(('Yearly Input Information'!L36*'Chemical Mixing Rates'!$G$8)+('Yearly Input Information'!L49*'Chemical Mixing Rates'!$I$8)+('Yearly Input Information'!$DE$3))*'Chemical Mixing Rates'!$M$8</f>
        <v>21.577482931739791</v>
      </c>
      <c r="Q44" s="100">
        <f>(('Yearly Input Information'!M36*'Chemical Mixing Rates'!$G$8)+('Yearly Input Information'!M49*'Chemical Mixing Rates'!$I$8)+('Yearly Input Information'!$DE$3))*'Chemical Mixing Rates'!$M$8</f>
        <v>22.006782590374591</v>
      </c>
      <c r="R44" s="100">
        <f>(('Yearly Input Information'!N36*'Chemical Mixing Rates'!$G$8)+('Yearly Input Information'!N49*'Chemical Mixing Rates'!$I$8)+('Yearly Input Information'!$DE$3))*'Chemical Mixing Rates'!$M$8</f>
        <v>22.444668242182082</v>
      </c>
      <c r="S44" s="100">
        <f>(('Yearly Input Information'!O36*'Chemical Mixing Rates'!$G$8)+('Yearly Input Information'!O49*'Chemical Mixing Rates'!$I$8)+('Yearly Input Information'!$DE$3))*'Chemical Mixing Rates'!$M$8</f>
        <v>22.891311607025724</v>
      </c>
      <c r="T44" s="100">
        <f>(('Yearly Input Information'!P36*'Chemical Mixing Rates'!$G$8)+('Yearly Input Information'!P49*'Chemical Mixing Rates'!$I$8)+('Yearly Input Information'!$DE$3))*'Chemical Mixing Rates'!$M$8</f>
        <v>23.346887839166239</v>
      </c>
      <c r="U44" s="100">
        <f>(('Yearly Input Information'!Q36*'Chemical Mixing Rates'!$G$8)+('Yearly Input Information'!Q49*'Chemical Mixing Rates'!$I$8)+('Yearly Input Information'!$DE$3))*'Chemical Mixing Rates'!$M$8</f>
        <v>23.811575595949563</v>
      </c>
      <c r="V44" s="100">
        <f>(('Yearly Input Information'!R36*'Chemical Mixing Rates'!$G$8)+('Yearly Input Information'!R49*'Chemical Mixing Rates'!$I$8)+('Yearly Input Information'!$DE$3))*'Chemical Mixing Rates'!$M$8</f>
        <v>24.285557107868556</v>
      </c>
      <c r="W44" s="100">
        <f>(('Yearly Input Information'!S36*'Chemical Mixing Rates'!$G$8)+('Yearly Input Information'!S49*'Chemical Mixing Rates'!$I$8)+('Yearly Input Information'!$DE$3))*'Chemical Mixing Rates'!$M$8</f>
        <v>24.769018250025926</v>
      </c>
      <c r="X44" s="100">
        <f>(('Yearly Input Information'!T36*'Chemical Mixing Rates'!$G$8)+('Yearly Input Information'!T49*'Chemical Mixing Rates'!$I$8)+('Yearly Input Information'!$DE$3))*'Chemical Mixing Rates'!$M$8</f>
        <v>25.262148615026444</v>
      </c>
      <c r="Y44" s="100">
        <f>(('Yearly Input Information'!U36*'Chemical Mixing Rates'!$G$8)+('Yearly Input Information'!U49*'Chemical Mixing Rates'!$I$8)+('Yearly Input Information'!$DE$3))*'Chemical Mixing Rates'!$M$8</f>
        <v>25.765141587326976</v>
      </c>
      <c r="Z44" s="100">
        <f>(('Yearly Input Information'!V36*'Chemical Mixing Rates'!$G$8)+('Yearly Input Information'!V49*'Chemical Mixing Rates'!$I$8)+('Yearly Input Information'!$DE$3))*'Chemical Mixing Rates'!$M$8</f>
        <v>26.278194419073515</v>
      </c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6"/>
      <c r="BF44" s="6"/>
      <c r="BG44" s="6"/>
      <c r="BH44" s="6"/>
    </row>
    <row r="45" spans="1:60" s="4" customFormat="1">
      <c r="A45" s="88" t="str">
        <f>'Chemical Mixing Rates'!F9</f>
        <v>Sevin</v>
      </c>
      <c r="B45" s="7"/>
      <c r="D45" s="18" t="s">
        <v>118</v>
      </c>
      <c r="E45" s="24">
        <f>AVERAGE('Yearly Input Information'!C37:AZ37)</f>
        <v>12.999092842420978</v>
      </c>
      <c r="F45" s="119" t="str">
        <f>'Yearly Input Information'!CU4</f>
        <v>$/lb</v>
      </c>
      <c r="G45" s="100">
        <f>((('Yearly Input Information'!C37*'Chemical Mixing Rates'!$G$9)+('Yearly Input Information'!C49*'Chemical Mixing Rates'!$I$9)+('Yearly Input Information'!$DE$4))*'Chemical Mixing Rates'!$M$9)</f>
        <v>53.5</v>
      </c>
      <c r="H45" s="100">
        <f>((('Yearly Input Information'!D37*'Chemical Mixing Rates'!$G$9)+('Yearly Input Information'!D49*'Chemical Mixing Rates'!$I$9)+('Yearly Input Information'!$DE$4))*'Chemical Mixing Rates'!$M$9)</f>
        <v>54.57</v>
      </c>
      <c r="I45" s="100">
        <f>((('Yearly Input Information'!E37*'Chemical Mixing Rates'!$G$9)+('Yearly Input Information'!E49*'Chemical Mixing Rates'!$I$9)+('Yearly Input Information'!$DE$4))*'Chemical Mixing Rates'!$M$9)</f>
        <v>55.6614</v>
      </c>
      <c r="J45" s="100">
        <f>((('Yearly Input Information'!F37*'Chemical Mixing Rates'!$G$9)+('Yearly Input Information'!F49*'Chemical Mixing Rates'!$I$9)+('Yearly Input Information'!$DE$4))*'Chemical Mixing Rates'!$M$9)</f>
        <v>56.774628</v>
      </c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6"/>
      <c r="BF45" s="6"/>
      <c r="BG45" s="6"/>
      <c r="BH45" s="6"/>
    </row>
    <row r="46" spans="1:60" s="4" customFormat="1">
      <c r="A46" s="88" t="str">
        <f>'Chemical Mixing Rates'!F10</f>
        <v>Warrior 2</v>
      </c>
      <c r="B46" s="7"/>
      <c r="D46" s="18" t="s">
        <v>118</v>
      </c>
      <c r="E46" s="24">
        <f>AVERAGE('Yearly Input Information'!C38:AZ38)</f>
        <v>2.4582104601248798</v>
      </c>
      <c r="F46" s="119" t="str">
        <f>'Yearly Input Information'!CU5</f>
        <v>$/oz</v>
      </c>
      <c r="G46" s="100"/>
      <c r="H46" s="100"/>
      <c r="I46" s="100"/>
      <c r="J46" s="100"/>
      <c r="K46" s="100">
        <f>(('Yearly Input Information'!G38*'Chemical Mixing Rates'!$G$10)+('Yearly Input Information'!G49*'Chemical Mixing Rates'!$I$10)+('Yearly Input Information'!$DE$5))*'Chemical Mixing Rates'!$M$10</f>
        <v>13.141402942499999</v>
      </c>
      <c r="L46" s="100">
        <f>(('Yearly Input Information'!H38*'Chemical Mixing Rates'!$G$10)+('Yearly Input Information'!H49*'Chemical Mixing Rates'!$I$10)+('Yearly Input Information'!$DE$5))*'Chemical Mixing Rates'!$M$10</f>
        <v>13.40423100135</v>
      </c>
      <c r="M46" s="100">
        <f>(('Yearly Input Information'!I38*'Chemical Mixing Rates'!$G$10)+('Yearly Input Information'!I49*'Chemical Mixing Rates'!$I$10)+('Yearly Input Information'!$DE$5))*'Chemical Mixing Rates'!$M$10</f>
        <v>13.672315621377003</v>
      </c>
      <c r="N46" s="100">
        <f>(('Yearly Input Information'!J38*'Chemical Mixing Rates'!$G$10)+('Yearly Input Information'!J49*'Chemical Mixing Rates'!$I$10)+('Yearly Input Information'!$DE$5))*'Chemical Mixing Rates'!$M$10</f>
        <v>13.945761933804544</v>
      </c>
      <c r="O46" s="100">
        <f>(('Yearly Input Information'!K38*'Chemical Mixing Rates'!$G$10)+('Yearly Input Information'!K49*'Chemical Mixing Rates'!$I$10)+('Yearly Input Information'!$DE$5))*'Chemical Mixing Rates'!$M$10</f>
        <v>14.224677172480634</v>
      </c>
      <c r="P46" s="100">
        <f>(('Yearly Input Information'!L38*'Chemical Mixing Rates'!$G$10)+('Yearly Input Information'!L49*'Chemical Mixing Rates'!$I$10)+('Yearly Input Information'!$DE$5))*'Chemical Mixing Rates'!$M$10</f>
        <v>14.509170715930248</v>
      </c>
      <c r="Q46" s="100">
        <f>(('Yearly Input Information'!M38*'Chemical Mixing Rates'!$G$10)+('Yearly Input Information'!M49*'Chemical Mixing Rates'!$I$10)+('Yearly Input Information'!$DE$5))*'Chemical Mixing Rates'!$M$10</f>
        <v>14.799354130248853</v>
      </c>
      <c r="R46" s="100">
        <f>(('Yearly Input Information'!N38*'Chemical Mixing Rates'!$G$10)+('Yearly Input Information'!N49*'Chemical Mixing Rates'!$I$10)+('Yearly Input Information'!$DE$5))*'Chemical Mixing Rates'!$M$10</f>
        <v>15.095341212853828</v>
      </c>
      <c r="S46" s="100">
        <f>(('Yearly Input Information'!O38*'Chemical Mixing Rates'!$G$10)+('Yearly Input Information'!O49*'Chemical Mixing Rates'!$I$10)+('Yearly Input Information'!$DE$5))*'Chemical Mixing Rates'!$M$10</f>
        <v>15.397248037110906</v>
      </c>
      <c r="T46" s="100">
        <f>(('Yearly Input Information'!P38*'Chemical Mixing Rates'!$G$10)+('Yearly Input Information'!P49*'Chemical Mixing Rates'!$I$10)+('Yearly Input Information'!$DE$5))*'Chemical Mixing Rates'!$M$10</f>
        <v>15.705192997853125</v>
      </c>
      <c r="U46" s="100">
        <f>(('Yearly Input Information'!Q38*'Chemical Mixing Rates'!$G$10)+('Yearly Input Information'!Q49*'Chemical Mixing Rates'!$I$10)+('Yearly Input Information'!$DE$5))*'Chemical Mixing Rates'!$M$10</f>
        <v>16.01929685781019</v>
      </c>
      <c r="V46" s="100">
        <f>(('Yearly Input Information'!R38*'Chemical Mixing Rates'!$G$10)+('Yearly Input Information'!R49*'Chemical Mixing Rates'!$I$10)+('Yearly Input Information'!$DE$5))*'Chemical Mixing Rates'!$M$10</f>
        <v>16.339682794966393</v>
      </c>
      <c r="W46" s="100">
        <f>(('Yearly Input Information'!S38*'Chemical Mixing Rates'!$G$10)+('Yearly Input Information'!S49*'Chemical Mixing Rates'!$I$10)+('Yearly Input Information'!$DE$5))*'Chemical Mixing Rates'!$M$10</f>
        <v>16.666476450865719</v>
      </c>
      <c r="X46" s="100">
        <f>(('Yearly Input Information'!T38*'Chemical Mixing Rates'!$G$10)+('Yearly Input Information'!T49*'Chemical Mixing Rates'!$I$10)+('Yearly Input Information'!$DE$5))*'Chemical Mixing Rates'!$M$10</f>
        <v>16.999805979883035</v>
      </c>
      <c r="Y46" s="100">
        <f>(('Yearly Input Information'!U38*'Chemical Mixing Rates'!$G$10)+('Yearly Input Information'!U49*'Chemical Mixing Rates'!$I$10)+('Yearly Input Information'!$DE$5))*'Chemical Mixing Rates'!$M$10</f>
        <v>17.339802099480696</v>
      </c>
      <c r="Z46" s="100">
        <f>(('Yearly Input Information'!V38*'Chemical Mixing Rates'!$G$10)+('Yearly Input Information'!V49*'Chemical Mixing Rates'!$I$10)+('Yearly Input Information'!$DE$5))*'Chemical Mixing Rates'!$M$10</f>
        <v>17.686598141470309</v>
      </c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6"/>
      <c r="BF46" s="6"/>
      <c r="BG46" s="6"/>
      <c r="BH46" s="6"/>
    </row>
    <row r="47" spans="1:60" s="4" customFormat="1">
      <c r="A47" s="38" t="s">
        <v>23</v>
      </c>
      <c r="B47" s="7"/>
      <c r="D47" s="18"/>
      <c r="E47" s="24"/>
      <c r="F47" s="119"/>
      <c r="G47" s="17"/>
      <c r="H47" s="17"/>
      <c r="I47" s="17"/>
      <c r="J47" s="17"/>
      <c r="K47" s="17"/>
      <c r="L47" s="17"/>
      <c r="M47" s="17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</row>
    <row r="48" spans="1:60" s="4" customFormat="1">
      <c r="A48" s="37" t="str">
        <f>'Yearly Input Information'!A83</f>
        <v>Pruning</v>
      </c>
      <c r="B48" s="7"/>
      <c r="D48" s="18" t="s">
        <v>118</v>
      </c>
      <c r="E48" s="24">
        <f>'Yearly Input Information'!$C$35</f>
        <v>6.5</v>
      </c>
      <c r="F48" s="119" t="s">
        <v>18</v>
      </c>
      <c r="G48" s="17">
        <f>$E$48*'Yearly Input Information'!C83</f>
        <v>6.5</v>
      </c>
      <c r="H48" s="17">
        <f>$E$48*'Yearly Input Information'!D83</f>
        <v>6.5</v>
      </c>
      <c r="I48" s="17">
        <f>$E$48*'Yearly Input Information'!E83</f>
        <v>6.5</v>
      </c>
      <c r="J48" s="17">
        <f>$E$48*'Yearly Input Information'!F83</f>
        <v>6.5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6"/>
      <c r="BF48" s="6"/>
      <c r="BG48" s="6"/>
      <c r="BH48" s="6"/>
    </row>
    <row r="49" spans="1:60" s="4" customFormat="1">
      <c r="A49" s="37" t="str">
        <f>'Yearly Input Information'!A84</f>
        <v>Thinning</v>
      </c>
      <c r="B49" s="7"/>
      <c r="D49" s="18" t="s">
        <v>118</v>
      </c>
      <c r="E49" s="190">
        <f>100</f>
        <v>100</v>
      </c>
      <c r="F49" s="119" t="s">
        <v>44</v>
      </c>
      <c r="X49" s="17">
        <f>$E$49*'Yearly Input Information'!T84</f>
        <v>100</v>
      </c>
      <c r="Y49" s="17"/>
      <c r="Z49" s="17"/>
      <c r="AA49" s="17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6"/>
      <c r="BF49" s="6"/>
      <c r="BG49" s="6"/>
      <c r="BH49" s="6"/>
    </row>
    <row r="50" spans="1:60" s="4" customFormat="1">
      <c r="A50" s="37" t="str">
        <f>'Yearly Input Information'!A85</f>
        <v>Mowing</v>
      </c>
      <c r="B50" s="7"/>
      <c r="D50" s="18" t="s">
        <v>118</v>
      </c>
      <c r="E50" s="190">
        <v>13.5</v>
      </c>
      <c r="F50" s="119" t="s">
        <v>44</v>
      </c>
      <c r="G50" s="17">
        <f>$E$50*'Yearly Input Information'!C85</f>
        <v>67.5</v>
      </c>
      <c r="H50" s="17">
        <f>$E$50*'Yearly Input Information'!D85</f>
        <v>67.5</v>
      </c>
      <c r="I50" s="17">
        <f>$E$50*'Yearly Input Information'!E85</f>
        <v>67.5</v>
      </c>
      <c r="J50" s="17">
        <f>$E$50*'Yearly Input Information'!F85</f>
        <v>67.5</v>
      </c>
      <c r="K50" s="17">
        <f>$E$50*'Yearly Input Information'!G85</f>
        <v>67.5</v>
      </c>
      <c r="L50" s="17">
        <f>$E$50*'Yearly Input Information'!H85</f>
        <v>67.5</v>
      </c>
      <c r="M50" s="17">
        <f>$E$50*'Yearly Input Information'!I85</f>
        <v>67.5</v>
      </c>
      <c r="N50" s="17">
        <f>$E$50*'Yearly Input Information'!J85</f>
        <v>67.5</v>
      </c>
      <c r="O50" s="17">
        <f>$E$50*'Yearly Input Information'!K85</f>
        <v>67.5</v>
      </c>
      <c r="P50" s="17">
        <f>$E$50*'Yearly Input Information'!L85</f>
        <v>67.5</v>
      </c>
      <c r="Q50" s="17">
        <f>$E$50*'Yearly Input Information'!M85</f>
        <v>67.5</v>
      </c>
      <c r="R50" s="17">
        <f>$E$50*'Yearly Input Information'!N85</f>
        <v>67.5</v>
      </c>
      <c r="S50" s="17">
        <f>$E$50*'Yearly Input Information'!O85</f>
        <v>67.5</v>
      </c>
      <c r="T50" s="17">
        <f>$E$50*'Yearly Input Information'!P85</f>
        <v>67.5</v>
      </c>
      <c r="U50" s="17">
        <f>$E$50*'Yearly Input Information'!Q85</f>
        <v>67.5</v>
      </c>
      <c r="V50" s="17">
        <f>$E$50*'Yearly Input Information'!R85</f>
        <v>67.5</v>
      </c>
      <c r="W50" s="17">
        <f>$E$50*'Yearly Input Information'!S85</f>
        <v>67.5</v>
      </c>
      <c r="X50" s="17">
        <f>$E$50*'Yearly Input Information'!T85</f>
        <v>67.5</v>
      </c>
      <c r="Y50" s="17">
        <f>$E$50*'Yearly Input Information'!U85</f>
        <v>67.5</v>
      </c>
      <c r="Z50" s="17">
        <f>$E$50*'Yearly Input Information'!V85</f>
        <v>67.5</v>
      </c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6"/>
      <c r="BF50" s="6"/>
      <c r="BG50" s="6"/>
      <c r="BH50" s="6"/>
    </row>
    <row r="51" spans="1:60" s="4" customFormat="1">
      <c r="A51" s="37" t="str">
        <f>'Yearly Input Information'!A86</f>
        <v>Tractor Sprayer (Fuel, Labor, Lube, Repairs)</v>
      </c>
      <c r="B51" s="7"/>
      <c r="D51" s="18" t="s">
        <v>118</v>
      </c>
      <c r="E51" s="24">
        <f>'Yearly Input Information'!$C$35+$D$7+($D$7*0.45)</f>
        <v>11.719999999999999</v>
      </c>
      <c r="F51" s="119" t="s">
        <v>200</v>
      </c>
      <c r="G51" s="17">
        <f>$E$51*'Yearly Input Information'!C86</f>
        <v>210.95999999999998</v>
      </c>
      <c r="H51" s="17">
        <f>$E$51*'Yearly Input Information'!D86</f>
        <v>210.95999999999998</v>
      </c>
      <c r="I51" s="17">
        <f>$E$51*'Yearly Input Information'!E86</f>
        <v>210.95999999999998</v>
      </c>
      <c r="J51" s="17">
        <f>$E$51*'Yearly Input Information'!F86</f>
        <v>210.95999999999998</v>
      </c>
      <c r="K51" s="17">
        <f>$E$51*'Yearly Input Information'!G86</f>
        <v>152.35999999999999</v>
      </c>
      <c r="L51" s="17">
        <f>$E$51*'Yearly Input Information'!H86</f>
        <v>152.35999999999999</v>
      </c>
      <c r="M51" s="17">
        <f>$E$51*'Yearly Input Information'!I86</f>
        <v>152.35999999999999</v>
      </c>
      <c r="N51" s="17">
        <f>$E$51*'Yearly Input Information'!J86</f>
        <v>152.35999999999999</v>
      </c>
      <c r="O51" s="17">
        <f>$E$51*'Yearly Input Information'!K86</f>
        <v>152.35999999999999</v>
      </c>
      <c r="P51" s="17">
        <f>$E$51*'Yearly Input Information'!L86</f>
        <v>152.35999999999999</v>
      </c>
      <c r="Q51" s="17">
        <f>$E$51*'Yearly Input Information'!M86</f>
        <v>152.35999999999999</v>
      </c>
      <c r="R51" s="17">
        <f>$E$51*'Yearly Input Information'!N86</f>
        <v>152.35999999999999</v>
      </c>
      <c r="S51" s="17">
        <f>$E$51*'Yearly Input Information'!O86</f>
        <v>152.35999999999999</v>
      </c>
      <c r="T51" s="17">
        <f>$E$51*'Yearly Input Information'!P86</f>
        <v>152.35999999999999</v>
      </c>
      <c r="U51" s="17">
        <f>$E$51*'Yearly Input Information'!Q86</f>
        <v>152.35999999999999</v>
      </c>
      <c r="V51" s="17">
        <f>$E$51*'Yearly Input Information'!R86</f>
        <v>152.35999999999999</v>
      </c>
      <c r="W51" s="17">
        <f>$E$51*'Yearly Input Information'!S86</f>
        <v>152.35999999999999</v>
      </c>
      <c r="X51" s="17">
        <f>$E$51*'Yearly Input Information'!T86</f>
        <v>152.35999999999999</v>
      </c>
      <c r="Y51" s="17">
        <f>$E$51*'Yearly Input Information'!U86</f>
        <v>152.35999999999999</v>
      </c>
      <c r="Z51" s="17">
        <f>$E$51*'Yearly Input Information'!V86</f>
        <v>152.35999999999999</v>
      </c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6"/>
      <c r="BF51" s="6"/>
      <c r="BG51" s="6"/>
      <c r="BH51" s="6"/>
    </row>
    <row r="52" spans="1:60" s="4" customFormat="1">
      <c r="A52" s="38" t="s">
        <v>24</v>
      </c>
      <c r="B52" s="7"/>
      <c r="D52" s="18"/>
      <c r="E52" s="24"/>
      <c r="F52" s="119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6"/>
      <c r="BF52" s="6"/>
      <c r="BG52" s="6"/>
      <c r="BH52" s="6"/>
    </row>
    <row r="53" spans="1:60" s="4" customFormat="1">
      <c r="A53" s="37" t="str">
        <f>'Yearly Input Information'!A88</f>
        <v>Leaf Analysis</v>
      </c>
      <c r="B53" s="7"/>
      <c r="D53" s="18" t="s">
        <v>118</v>
      </c>
      <c r="E53" s="190">
        <v>20</v>
      </c>
      <c r="F53" s="119" t="s">
        <v>44</v>
      </c>
      <c r="G53" s="17">
        <f>$E$53*'Yearly Input Information'!C88</f>
        <v>0</v>
      </c>
      <c r="H53" s="17">
        <f>$E$53*'Yearly Input Information'!D88</f>
        <v>0</v>
      </c>
      <c r="I53" s="17">
        <f>$E$53*'Yearly Input Information'!E88</f>
        <v>0</v>
      </c>
      <c r="J53" s="17">
        <f>$E$53*'Yearly Input Information'!F88</f>
        <v>40</v>
      </c>
      <c r="K53" s="17">
        <f>$E$53*'Yearly Input Information'!G88</f>
        <v>40</v>
      </c>
      <c r="L53" s="17">
        <f>$E$53*'Yearly Input Information'!H88</f>
        <v>40</v>
      </c>
      <c r="M53" s="17">
        <f>$E$53*'Yearly Input Information'!I88</f>
        <v>40</v>
      </c>
      <c r="N53" s="17">
        <f>$E$53*'Yearly Input Information'!J88</f>
        <v>40</v>
      </c>
      <c r="O53" s="17">
        <f>$E$53*'Yearly Input Information'!K88</f>
        <v>40</v>
      </c>
      <c r="P53" s="17">
        <f>$E$53*'Yearly Input Information'!L88</f>
        <v>40</v>
      </c>
      <c r="Q53" s="17">
        <f>$E$53*'Yearly Input Information'!M88</f>
        <v>40</v>
      </c>
      <c r="R53" s="17">
        <f>$E$53*'Yearly Input Information'!N88</f>
        <v>40</v>
      </c>
      <c r="S53" s="17">
        <f>$E$53*'Yearly Input Information'!O88</f>
        <v>40</v>
      </c>
      <c r="T53" s="17">
        <f>$E$53*'Yearly Input Information'!P88</f>
        <v>40</v>
      </c>
      <c r="U53" s="17">
        <f>$E$53*'Yearly Input Information'!Q88</f>
        <v>40</v>
      </c>
      <c r="V53" s="17">
        <f>$E$53*'Yearly Input Information'!R88</f>
        <v>40</v>
      </c>
      <c r="W53" s="17">
        <f>$E$53*'Yearly Input Information'!S88</f>
        <v>40</v>
      </c>
      <c r="X53" s="17">
        <f>$E$53*'Yearly Input Information'!T88</f>
        <v>40</v>
      </c>
      <c r="Y53" s="17">
        <f>$E$53*'Yearly Input Information'!U88</f>
        <v>40</v>
      </c>
      <c r="Z53" s="17">
        <f>$E$53*'Yearly Input Information'!V88</f>
        <v>40</v>
      </c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6"/>
      <c r="BF53" s="6"/>
      <c r="BG53" s="6"/>
      <c r="BH53" s="6"/>
    </row>
    <row r="54" spans="1:60" s="4" customFormat="1">
      <c r="A54" s="37" t="str">
        <f>'Yearly Input Information'!A89</f>
        <v>Casebearer Insect Traps</v>
      </c>
      <c r="B54" s="7"/>
      <c r="D54" s="18" t="s">
        <v>196</v>
      </c>
      <c r="E54" s="190">
        <v>15</v>
      </c>
      <c r="F54" s="119" t="s">
        <v>44</v>
      </c>
      <c r="H54" s="17"/>
      <c r="I54" s="17"/>
      <c r="J54" s="17"/>
      <c r="K54" s="17">
        <f>'Yearly Input Information'!B89*'Budget Display'!E54</f>
        <v>90</v>
      </c>
      <c r="L54" s="17"/>
      <c r="M54" s="17"/>
      <c r="N54" s="17"/>
      <c r="O54" s="17"/>
      <c r="P54" s="17">
        <f>K54</f>
        <v>90</v>
      </c>
      <c r="Q54" s="17"/>
      <c r="R54" s="17"/>
      <c r="S54" s="17"/>
      <c r="T54" s="17"/>
      <c r="U54" s="17">
        <f>P54</f>
        <v>90</v>
      </c>
      <c r="V54" s="17"/>
      <c r="W54" s="17"/>
      <c r="X54" s="17"/>
      <c r="Y54" s="17"/>
      <c r="Z54" s="17">
        <f>U54</f>
        <v>90</v>
      </c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6"/>
      <c r="BF54" s="6"/>
      <c r="BG54" s="6"/>
      <c r="BH54" s="6"/>
    </row>
    <row r="55" spans="1:60" s="4" customFormat="1">
      <c r="A55" s="37" t="str">
        <f>'Yearly Input Information'!A90</f>
        <v>Pecan Wevil Traps</v>
      </c>
      <c r="B55" s="7"/>
      <c r="D55" s="18" t="s">
        <v>196</v>
      </c>
      <c r="E55" s="190">
        <v>20</v>
      </c>
      <c r="F55" s="119" t="s">
        <v>44</v>
      </c>
      <c r="H55" s="17"/>
      <c r="I55" s="17"/>
      <c r="J55" s="17"/>
      <c r="K55" s="17">
        <f>'Yearly Input Information'!B90*'Budget Display'!E55</f>
        <v>160</v>
      </c>
      <c r="L55" s="17"/>
      <c r="M55" s="17"/>
      <c r="N55" s="17"/>
      <c r="O55" s="17"/>
      <c r="P55" s="17">
        <f>K55</f>
        <v>160</v>
      </c>
      <c r="Q55" s="17"/>
      <c r="R55" s="17"/>
      <c r="S55" s="17"/>
      <c r="T55" s="17"/>
      <c r="U55" s="17">
        <f>P55</f>
        <v>160</v>
      </c>
      <c r="V55" s="17"/>
      <c r="W55" s="17"/>
      <c r="X55" s="17"/>
      <c r="Y55" s="17"/>
      <c r="Z55" s="17">
        <f>U55</f>
        <v>160</v>
      </c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6"/>
      <c r="BF55" s="6"/>
      <c r="BG55" s="6"/>
      <c r="BH55" s="6"/>
    </row>
    <row r="56" spans="1:60" s="82" customFormat="1" ht="16" thickBot="1">
      <c r="A56" s="35" t="s">
        <v>32</v>
      </c>
      <c r="B56" s="19"/>
      <c r="C56" s="81"/>
      <c r="D56" s="124" t="s">
        <v>118</v>
      </c>
      <c r="E56" s="125"/>
      <c r="F56" s="126"/>
      <c r="G56" s="125">
        <f t="shared" ref="G56:Z56" si="2">SUM(G36:G55)</f>
        <v>359.45600000000002</v>
      </c>
      <c r="H56" s="125">
        <f t="shared" si="2"/>
        <v>396.93391999999994</v>
      </c>
      <c r="I56" s="125">
        <f t="shared" si="2"/>
        <v>399.15539839999997</v>
      </c>
      <c r="J56" s="125">
        <f t="shared" si="2"/>
        <v>441.42130636799999</v>
      </c>
      <c r="K56" s="125">
        <f>SUM(K36:K55)</f>
        <v>609.41881514664999</v>
      </c>
      <c r="L56" s="125">
        <f t="shared" si="2"/>
        <v>377.61972925662303</v>
      </c>
      <c r="M56" s="125">
        <f t="shared" si="2"/>
        <v>363.40008627857469</v>
      </c>
      <c r="N56" s="125">
        <f t="shared" si="2"/>
        <v>365.45063800414619</v>
      </c>
      <c r="O56" s="125">
        <f t="shared" si="2"/>
        <v>367.54220076422905</v>
      </c>
      <c r="P56" s="125">
        <f t="shared" si="2"/>
        <v>619.67559477951363</v>
      </c>
      <c r="Q56" s="125">
        <f t="shared" si="2"/>
        <v>389.77087464902684</v>
      </c>
      <c r="R56" s="125">
        <f t="shared" si="2"/>
        <v>383.76955941408426</v>
      </c>
      <c r="S56" s="125">
        <f t="shared" si="2"/>
        <v>386.22750060236604</v>
      </c>
      <c r="T56" s="125">
        <f t="shared" si="2"/>
        <v>388.73460061441335</v>
      </c>
      <c r="U56" s="125">
        <f t="shared" si="2"/>
        <v>641.29184262670162</v>
      </c>
      <c r="V56" s="125">
        <f t="shared" si="2"/>
        <v>403.18672101367213</v>
      </c>
      <c r="W56" s="125">
        <f t="shared" si="2"/>
        <v>396.56078406882034</v>
      </c>
      <c r="X56" s="125">
        <f t="shared" si="2"/>
        <v>499.2745497501968</v>
      </c>
      <c r="Y56" s="125">
        <f t="shared" si="2"/>
        <v>402.0425907452007</v>
      </c>
      <c r="Z56" s="125">
        <f t="shared" si="2"/>
        <v>654.8659925601047</v>
      </c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8"/>
      <c r="BF56" s="128"/>
      <c r="BG56" s="128"/>
      <c r="BH56" s="128"/>
    </row>
    <row r="57" spans="1:60" s="4" customFormat="1">
      <c r="A57" s="37"/>
      <c r="C57" s="47"/>
      <c r="D57" s="9"/>
      <c r="E57" s="24"/>
      <c r="F57" s="119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6"/>
      <c r="BF57" s="6"/>
      <c r="BG57" s="6"/>
      <c r="BH57" s="6"/>
    </row>
    <row r="58" spans="1:60" s="4" customFormat="1" ht="16" thickBot="1">
      <c r="A58" s="135" t="s">
        <v>33</v>
      </c>
      <c r="B58" s="19"/>
      <c r="C58" s="5"/>
      <c r="D58" s="8"/>
      <c r="E58" s="21"/>
      <c r="F58" s="120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6"/>
      <c r="BF58" s="6"/>
      <c r="BG58" s="6"/>
      <c r="BH58" s="6"/>
    </row>
    <row r="59" spans="1:60" s="4" customFormat="1">
      <c r="A59" s="38" t="s">
        <v>7</v>
      </c>
      <c r="D59" s="15"/>
      <c r="E59" s="9"/>
      <c r="F59" s="119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6"/>
      <c r="BF59" s="6"/>
      <c r="BG59" s="6"/>
      <c r="BH59" s="6"/>
    </row>
    <row r="60" spans="1:60" s="4" customFormat="1">
      <c r="A60" s="37" t="str">
        <f>'Yearly Input Information'!A93</f>
        <v>--Hand Pick</v>
      </c>
      <c r="D60" s="18" t="s">
        <v>118</v>
      </c>
      <c r="E60" s="24">
        <f>'Yearly Input Information'!$C$35</f>
        <v>6.5</v>
      </c>
      <c r="F60" s="119" t="s">
        <v>18</v>
      </c>
      <c r="G60" s="17"/>
      <c r="H60" s="17"/>
      <c r="I60" s="17"/>
      <c r="J60" s="17">
        <f>$E$60*'Yearly Input Information'!F93</f>
        <v>6.5</v>
      </c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6"/>
      <c r="BF60" s="6"/>
      <c r="BG60" s="6"/>
      <c r="BH60" s="6"/>
    </row>
    <row r="61" spans="1:60" s="4" customFormat="1">
      <c r="A61" s="38" t="s">
        <v>25</v>
      </c>
      <c r="D61" s="18"/>
      <c r="E61" s="9"/>
      <c r="F61" s="119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6"/>
      <c r="BF61" s="6"/>
      <c r="BG61" s="6"/>
      <c r="BH61" s="6"/>
    </row>
    <row r="62" spans="1:60" s="4" customFormat="1">
      <c r="A62" s="37" t="str">
        <f>'Yearly Input Information'!A95</f>
        <v>ATV Rake  (Fuel, Labor, Lube, Repairs)</v>
      </c>
      <c r="D62" s="18" t="s">
        <v>118</v>
      </c>
      <c r="E62" s="24">
        <f>'Yearly Input Information'!$C$35+$D$7+($D$7*0.45)</f>
        <v>11.719999999999999</v>
      </c>
      <c r="F62" s="119" t="s">
        <v>200</v>
      </c>
      <c r="G62" s="17"/>
      <c r="H62" s="17"/>
      <c r="I62" s="17"/>
      <c r="J62" s="17"/>
      <c r="K62" s="17">
        <f>($E$62*((1+$D$4)^K11)*'Yearly Input Information'!G95)</f>
        <v>2.5879654027007999</v>
      </c>
      <c r="L62" s="17">
        <f>($E$62*((1+$D$4)^L11)*'Yearly Input Information'!H95)</f>
        <v>2.6397247107548161</v>
      </c>
      <c r="M62" s="17">
        <f>($E$62*((1+$D$4)^M11)*'Yearly Input Information'!I95)</f>
        <v>2.692519204969912</v>
      </c>
      <c r="N62" s="17">
        <f>($E$62*((1+$D$4)^N11)*'Yearly Input Information'!J95)</f>
        <v>2.7463695890693103</v>
      </c>
      <c r="O62" s="17">
        <f>($E$62*((1+$D$4)^O11)*'Yearly Input Information'!K95)</f>
        <v>2.8012969808506964</v>
      </c>
      <c r="P62" s="17">
        <f>($E$62*((1+$D$4)^P11)*'Yearly Input Information'!L95)</f>
        <v>2.8573229204677109</v>
      </c>
      <c r="Q62" s="17">
        <f>($E$62*((1+$D$4)^Q11)*'Yearly Input Information'!M95)</f>
        <v>2.9144693788770644</v>
      </c>
      <c r="R62" s="17">
        <f>($E$62*((1+$D$4)^R11)*'Yearly Input Information'!N95)</f>
        <v>2.9727587664546058</v>
      </c>
      <c r="S62" s="17">
        <f>($E$62*((1+$D$4)^S11)*'Yearly Input Information'!O95)</f>
        <v>3.0322139417836982</v>
      </c>
      <c r="T62" s="17">
        <f>($E$62*((1+$D$4)^T11)*'Yearly Input Information'!P95)</f>
        <v>3.0928582206193722</v>
      </c>
      <c r="U62" s="17">
        <f>($E$62*((1+$D$4)^U11)*'Yearly Input Information'!Q95)</f>
        <v>3.1547153850317589</v>
      </c>
      <c r="V62" s="17">
        <f>($E$62*((1+$D$4)^V11)*'Yearly Input Information'!R95)</f>
        <v>3.2178096927323945</v>
      </c>
      <c r="W62" s="17">
        <f>($E$62*((1+$D$4)^W11)*'Yearly Input Information'!S95)</f>
        <v>3.2821658865870429</v>
      </c>
      <c r="X62" s="17">
        <f>($E$62*((1+$D$4)^X11)*'Yearly Input Information'!T95)</f>
        <v>3.347809204318783</v>
      </c>
      <c r="Y62" s="17">
        <f>($E$62*((1+$D$4)^Y11)*'Yearly Input Information'!U95)</f>
        <v>3.4147653884051588</v>
      </c>
      <c r="Z62" s="17">
        <f>($E$62*((1+$D$4)^Z11)*'Yearly Input Information'!V95)</f>
        <v>3.4830606961732622</v>
      </c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6"/>
      <c r="BF62" s="6"/>
      <c r="BG62" s="6"/>
      <c r="BH62" s="6"/>
    </row>
    <row r="63" spans="1:60" s="4" customFormat="1">
      <c r="A63" s="37" t="str">
        <f>'Yearly Input Information'!A96</f>
        <v>Truck &amp; Trailer (Fuel, Labor, Lube, Repairs)</v>
      </c>
      <c r="D63" s="18" t="s">
        <v>118</v>
      </c>
      <c r="E63" s="24">
        <f>'Yearly Input Information'!$C$35+$D$7+($D$7*0.45)</f>
        <v>11.719999999999999</v>
      </c>
      <c r="F63" s="119" t="s">
        <v>200</v>
      </c>
      <c r="G63" s="17"/>
      <c r="H63" s="17"/>
      <c r="I63" s="17"/>
      <c r="J63" s="17"/>
      <c r="K63" s="17">
        <f>($E$62*((1+$D$4)^K11)*'Yearly Input Information'!G96)</f>
        <v>3.2349567533759997</v>
      </c>
      <c r="L63" s="17">
        <f>($E$62*((1+$D$4)^L11)*'Yearly Input Information'!H96)</f>
        <v>3.2996558884435201</v>
      </c>
      <c r="M63" s="17">
        <f>($E$62*((1+$D$4)^M11)*'Yearly Input Information'!I96)</f>
        <v>3.3656490062123896</v>
      </c>
      <c r="N63" s="17">
        <f>($E$62*((1+$D$4)^N11)*'Yearly Input Information'!J96)</f>
        <v>3.4329619863366378</v>
      </c>
      <c r="O63" s="17">
        <f>($E$62*((1+$D$4)^O11)*'Yearly Input Information'!K96)</f>
        <v>3.5016212260633703</v>
      </c>
      <c r="P63" s="17">
        <f>($E$62*((1+$D$4)^P11)*'Yearly Input Information'!L96)</f>
        <v>3.5716536505846381</v>
      </c>
      <c r="Q63" s="17">
        <f>($E$62*((1+$D$4)^Q11)*'Yearly Input Information'!M96)</f>
        <v>3.6430867235963302</v>
      </c>
      <c r="R63" s="17">
        <f>($E$62*((1+$D$4)^R11)*'Yearly Input Information'!N96)</f>
        <v>3.7159484580682571</v>
      </c>
      <c r="S63" s="17">
        <f>($E$62*((1+$D$4)^S11)*'Yearly Input Information'!O96)</f>
        <v>3.7902674272296224</v>
      </c>
      <c r="T63" s="17">
        <f>($E$62*((1+$D$4)^T11)*'Yearly Input Information'!P96)</f>
        <v>3.866072775774215</v>
      </c>
      <c r="U63" s="17">
        <f>($E$62*((1+$D$4)^U11)*'Yearly Input Information'!Q96)</f>
        <v>3.9433942312896981</v>
      </c>
      <c r="V63" s="17">
        <f>($E$62*((1+$D$4)^V11)*'Yearly Input Information'!R96)</f>
        <v>4.0222621159154928</v>
      </c>
      <c r="W63" s="17">
        <f>($E$62*((1+$D$4)^W11)*'Yearly Input Information'!S96)</f>
        <v>4.1027073582338032</v>
      </c>
      <c r="X63" s="17">
        <f>($E$62*((1+$D$4)^X11)*'Yearly Input Information'!T96)</f>
        <v>4.1847615053984786</v>
      </c>
      <c r="Y63" s="17">
        <f>($E$62*((1+$D$4)^Y11)*'Yearly Input Information'!U96)</f>
        <v>4.2684567355064482</v>
      </c>
      <c r="Z63" s="17">
        <f>($E$62*((1+$D$4)^Z11)*'Yearly Input Information'!V96)</f>
        <v>4.3538258702165775</v>
      </c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6"/>
      <c r="BF63" s="6"/>
      <c r="BG63" s="6"/>
      <c r="BH63" s="6"/>
    </row>
    <row r="64" spans="1:60" s="4" customFormat="1">
      <c r="A64" s="88" t="str">
        <f>IF('Yearly Input Information'!A97="","",'Yearly Input Information'!A97)</f>
        <v>Tractor Rake  (Fuel, Labor, Lube, Repairs)</v>
      </c>
      <c r="D64" s="18" t="s">
        <v>118</v>
      </c>
      <c r="E64" s="24">
        <f>'Yearly Input Information'!$C$35+$D$7+($D$7*0.45)</f>
        <v>11.719999999999999</v>
      </c>
      <c r="F64" s="119" t="s">
        <v>200</v>
      </c>
      <c r="G64" s="17"/>
      <c r="H64" s="17"/>
      <c r="I64" s="17"/>
      <c r="J64" s="17"/>
      <c r="K64" s="17">
        <f>($E$62*((1+$D$4)^K11)*'Yearly Input Information'!G97)</f>
        <v>3.2349567533759997</v>
      </c>
      <c r="L64" s="17">
        <f>($E$62*((1+$D$4)^L11)*'Yearly Input Information'!H97)</f>
        <v>3.2996558884435201</v>
      </c>
      <c r="M64" s="17">
        <f>($E$62*((1+$D$4)^M11)*'Yearly Input Information'!I97)</f>
        <v>3.3656490062123896</v>
      </c>
      <c r="N64" s="17">
        <f>($E$62*((1+$D$4)^N11)*'Yearly Input Information'!J97)</f>
        <v>3.4329619863366378</v>
      </c>
      <c r="O64" s="17">
        <f>($E$62*((1+$D$4)^O11)*'Yearly Input Information'!K97)</f>
        <v>3.5016212260633703</v>
      </c>
      <c r="P64" s="17">
        <f>($E$62*((1+$D$4)^P11)*'Yearly Input Information'!L97)</f>
        <v>3.5716536505846381</v>
      </c>
      <c r="Q64" s="17">
        <f>($E$62*((1+$D$4)^Q11)*'Yearly Input Information'!M97)</f>
        <v>3.6430867235963302</v>
      </c>
      <c r="R64" s="17">
        <f>($E$62*((1+$D$4)^R11)*'Yearly Input Information'!N97)</f>
        <v>3.7159484580682571</v>
      </c>
      <c r="S64" s="17">
        <f>($E$62*((1+$D$4)^S11)*'Yearly Input Information'!O97)</f>
        <v>3.7902674272296224</v>
      </c>
      <c r="T64" s="17">
        <f>($E$62*((1+$D$4)^T11)*'Yearly Input Information'!P97)</f>
        <v>3.866072775774215</v>
      </c>
      <c r="U64" s="17">
        <f>($E$62*((1+$D$4)^U11)*'Yearly Input Information'!Q97)</f>
        <v>3.9433942312896981</v>
      </c>
      <c r="V64" s="17">
        <f>($E$62*((1+$D$4)^V11)*'Yearly Input Information'!R97)</f>
        <v>4.0222621159154928</v>
      </c>
      <c r="W64" s="17">
        <f>($E$62*((1+$D$4)^W11)*'Yearly Input Information'!S97)</f>
        <v>4.1027073582338032</v>
      </c>
      <c r="X64" s="17">
        <f>($E$62*((1+$D$4)^X11)*'Yearly Input Information'!T97)</f>
        <v>4.1847615053984786</v>
      </c>
      <c r="Y64" s="17">
        <f>($E$62*((1+$D$4)^Y11)*'Yearly Input Information'!U97)</f>
        <v>4.2684567355064482</v>
      </c>
      <c r="Z64" s="17">
        <f>($E$62*((1+$D$4)^Z11)*'Yearly Input Information'!V97)</f>
        <v>4.3538258702165775</v>
      </c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6"/>
      <c r="BF64" s="6"/>
      <c r="BG64" s="6"/>
      <c r="BH64" s="6"/>
    </row>
    <row r="65" spans="1:60" s="4" customFormat="1">
      <c r="A65" s="88" t="str">
        <f>IF('Yearly Input Information'!A98="","",'Yearly Input Information'!A98)</f>
        <v>Tractor Shake  (Fuel, Labor, Lube, Repairs)</v>
      </c>
      <c r="D65" s="18" t="s">
        <v>118</v>
      </c>
      <c r="E65" s="24">
        <f>'Yearly Input Information'!$C$35+$D$7+($D$7*0.45)</f>
        <v>11.719999999999999</v>
      </c>
      <c r="F65" s="119" t="s">
        <v>200</v>
      </c>
      <c r="G65" s="17"/>
      <c r="H65" s="17"/>
      <c r="I65" s="17"/>
      <c r="J65" s="17"/>
      <c r="K65" s="17">
        <f>($E$62*((1+$D$4)^K11)*'Yearly Input Information'!G98)</f>
        <v>12.939827013503999</v>
      </c>
      <c r="L65" s="17">
        <f>($E$62*((1+$D$4)^L11)*'Yearly Input Information'!H98)</f>
        <v>13.19862355377408</v>
      </c>
      <c r="M65" s="17">
        <f>($E$62*((1+$D$4)^M11)*'Yearly Input Information'!I98)</f>
        <v>13.462596024849558</v>
      </c>
      <c r="N65" s="17">
        <f>($E$62*((1+$D$4)^N11)*'Yearly Input Information'!J98)</f>
        <v>13.731847945346551</v>
      </c>
      <c r="O65" s="17">
        <f>($E$62*((1+$D$4)^O11)*'Yearly Input Information'!K98)</f>
        <v>14.006484904253481</v>
      </c>
      <c r="P65" s="17">
        <f>($E$62*((1+$D$4)^P11)*'Yearly Input Information'!L98)</f>
        <v>14.286614602338553</v>
      </c>
      <c r="Q65" s="17">
        <f>($E$62*((1+$D$4)^Q11)*'Yearly Input Information'!M98)</f>
        <v>14.572346894385321</v>
      </c>
      <c r="R65" s="17">
        <f>($E$62*((1+$D$4)^R11)*'Yearly Input Information'!N98)</f>
        <v>14.863793832273029</v>
      </c>
      <c r="S65" s="17">
        <f>($E$62*((1+$D$4)^S11)*'Yearly Input Information'!O98)</f>
        <v>15.16106970891849</v>
      </c>
      <c r="T65" s="17">
        <f>($E$62*((1+$D$4)^T11)*'Yearly Input Information'!P98)</f>
        <v>15.46429110309686</v>
      </c>
      <c r="U65" s="17">
        <f>($E$62*((1+$D$4)^U11)*'Yearly Input Information'!Q98)</f>
        <v>15.773576925158793</v>
      </c>
      <c r="V65" s="17">
        <f>($E$62*((1+$D$4)^V11)*'Yearly Input Information'!R98)</f>
        <v>16.089048463661971</v>
      </c>
      <c r="W65" s="17">
        <f>($E$62*((1+$D$4)^W11)*'Yearly Input Information'!S98)</f>
        <v>16.410829432935213</v>
      </c>
      <c r="X65" s="17">
        <f>($E$62*((1+$D$4)^X11)*'Yearly Input Information'!T98)</f>
        <v>16.739046021593914</v>
      </c>
      <c r="Y65" s="17">
        <f>($E$62*((1+$D$4)^Y11)*'Yearly Input Information'!U98)</f>
        <v>17.073826942025793</v>
      </c>
      <c r="Z65" s="17">
        <f>($E$62*((1+$D$4)^Z11)*'Yearly Input Information'!V98)</f>
        <v>17.41530348086631</v>
      </c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6"/>
      <c r="BF65" s="6"/>
      <c r="BG65" s="6"/>
      <c r="BH65" s="6"/>
    </row>
    <row r="66" spans="1:60" s="4" customFormat="1">
      <c r="A66" s="88" t="str">
        <f>IF('Yearly Input Information'!A99="","",'Yearly Input Information'!A99)</f>
        <v>Tractor Harvestor  (Fuel, Labor, Lube, Repairs)</v>
      </c>
      <c r="D66" s="18" t="s">
        <v>118</v>
      </c>
      <c r="E66" s="24">
        <f>'Yearly Input Information'!$C$35+$D$7+($D$7*0.45)</f>
        <v>11.719999999999999</v>
      </c>
      <c r="F66" s="119" t="s">
        <v>200</v>
      </c>
      <c r="G66" s="17"/>
      <c r="H66" s="17"/>
      <c r="I66" s="17"/>
      <c r="J66" s="17"/>
      <c r="K66" s="17">
        <f>($E$62*((1+$D$4)^K11)*'Yearly Input Information'!G99)</f>
        <v>9.7048702601279988</v>
      </c>
      <c r="L66" s="17">
        <f>($E$62*((1+$D$4)^L11)*'Yearly Input Information'!H99)</f>
        <v>9.8989676653305594</v>
      </c>
      <c r="M66" s="17">
        <f>($E$62*((1+$D$4)^M11)*'Yearly Input Information'!I99)</f>
        <v>10.096947018637168</v>
      </c>
      <c r="N66" s="17">
        <f>($E$62*((1+$D$4)^N11)*'Yearly Input Information'!J99)</f>
        <v>10.298885959009914</v>
      </c>
      <c r="O66" s="17">
        <f>($E$62*((1+$D$4)^O11)*'Yearly Input Information'!K99)</f>
        <v>10.504863678190111</v>
      </c>
      <c r="P66" s="17">
        <f>($E$62*((1+$D$4)^P11)*'Yearly Input Information'!L99)</f>
        <v>10.714960951753914</v>
      </c>
      <c r="Q66" s="17">
        <f>($E$62*((1+$D$4)^Q11)*'Yearly Input Information'!M99)</f>
        <v>10.929260170788991</v>
      </c>
      <c r="R66" s="17">
        <f>($E$62*((1+$D$4)^R11)*'Yearly Input Information'!N99)</f>
        <v>11.147845374204771</v>
      </c>
      <c r="S66" s="17">
        <f>($E$62*((1+$D$4)^S11)*'Yearly Input Information'!O99)</f>
        <v>11.370802281688867</v>
      </c>
      <c r="T66" s="17">
        <f>($E$62*((1+$D$4)^T11)*'Yearly Input Information'!P99)</f>
        <v>11.598218327322645</v>
      </c>
      <c r="U66" s="17">
        <f>($E$62*((1+$D$4)^U11)*'Yearly Input Information'!Q99)</f>
        <v>11.830182693869094</v>
      </c>
      <c r="V66" s="17">
        <f>($E$62*((1+$D$4)^V11)*'Yearly Input Information'!R99)</f>
        <v>12.066786347746479</v>
      </c>
      <c r="W66" s="17">
        <f>($E$62*((1+$D$4)^W11)*'Yearly Input Information'!S99)</f>
        <v>12.308122074701409</v>
      </c>
      <c r="X66" s="17">
        <f>($E$62*((1+$D$4)^X11)*'Yearly Input Information'!T99)</f>
        <v>12.554284516195436</v>
      </c>
      <c r="Y66" s="17">
        <f>($E$62*((1+$D$4)^Y11)*'Yearly Input Information'!U99)</f>
        <v>12.805370206519346</v>
      </c>
      <c r="Z66" s="17">
        <f>($E$62*((1+$D$4)^Z11)*'Yearly Input Information'!V99)</f>
        <v>13.061477610649732</v>
      </c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6"/>
      <c r="BF66" s="6"/>
      <c r="BG66" s="6"/>
      <c r="BH66" s="6"/>
    </row>
    <row r="67" spans="1:60" s="4" customFormat="1">
      <c r="A67" s="88" t="str">
        <f>IF('Yearly Input Information'!A100="","",'Yearly Input Information'!A100)</f>
        <v>Super Sacks</v>
      </c>
      <c r="D67" s="18" t="s">
        <v>139</v>
      </c>
      <c r="E67" s="24">
        <f>'Yearly Input Information'!C50</f>
        <v>25</v>
      </c>
      <c r="F67" s="119" t="s">
        <v>44</v>
      </c>
      <c r="G67" s="17"/>
      <c r="H67" s="17" t="str">
        <f>IF('Yearly Input Information'!D100=0,"",'Yearly Input Information'!D50*'Yearly Input Information'!D100)</f>
        <v/>
      </c>
      <c r="I67" s="17" t="str">
        <f>IF('Yearly Input Information'!E100=0,"",'Yearly Input Information'!E50*'Yearly Input Information'!E100)</f>
        <v/>
      </c>
      <c r="J67" s="17" t="str">
        <f>IF('Yearly Input Information'!F100=0,"",'Yearly Input Information'!F50*'Yearly Input Information'!F100)</f>
        <v/>
      </c>
      <c r="K67" s="17">
        <f>IF('Yearly Input Information'!G100=0,"",'Yearly Input Information'!G50*'Yearly Input Information'!G100)</f>
        <v>27.060804000000001</v>
      </c>
      <c r="L67" s="17" t="str">
        <f>IF('Yearly Input Information'!H100=0,"",'Yearly Input Information'!H50*'Yearly Input Information'!H100)</f>
        <v/>
      </c>
      <c r="M67" s="17" t="str">
        <f>IF('Yearly Input Information'!I100=0,"",'Yearly Input Information'!I50*'Yearly Input Information'!I100)</f>
        <v/>
      </c>
      <c r="N67" s="17" t="str">
        <f>IF('Yearly Input Information'!J100=0,"",'Yearly Input Information'!J50*'Yearly Input Information'!J100)</f>
        <v/>
      </c>
      <c r="O67" s="17" t="str">
        <f>IF('Yearly Input Information'!K100=0,"",'Yearly Input Information'!K50*'Yearly Input Information'!K100)</f>
        <v/>
      </c>
      <c r="P67" s="17">
        <f>IF('Yearly Input Information'!L100=0,"",'Yearly Input Information'!L50*'Yearly Input Information'!L100)</f>
        <v>29.877314215557774</v>
      </c>
      <c r="Q67" s="17" t="str">
        <f>IF('Yearly Input Information'!M100=0,"",'Yearly Input Information'!M50*'Yearly Input Information'!M100)</f>
        <v/>
      </c>
      <c r="R67" s="17" t="str">
        <f>IF('Yearly Input Information'!N100=0,"",'Yearly Input Information'!N50*'Yearly Input Information'!N100)</f>
        <v/>
      </c>
      <c r="S67" s="17" t="str">
        <f>IF('Yearly Input Information'!O100=0,"",'Yearly Input Information'!O50*'Yearly Input Information'!O100)</f>
        <v/>
      </c>
      <c r="T67" s="17" t="str">
        <f>IF('Yearly Input Information'!P100=0,"",'Yearly Input Information'!P50*'Yearly Input Information'!P100)</f>
        <v/>
      </c>
      <c r="U67" s="17">
        <f>IF('Yearly Input Information'!Q100=0,"",'Yearly Input Information'!Q50*'Yearly Input Information'!Q100)</f>
        <v>32.98696907657181</v>
      </c>
      <c r="V67" s="17" t="str">
        <f>IF('Yearly Input Information'!R100=0,"",'Yearly Input Information'!R50*'Yearly Input Information'!R100)</f>
        <v/>
      </c>
      <c r="W67" s="17" t="str">
        <f>IF('Yearly Input Information'!S100=0,"",'Yearly Input Information'!S50*'Yearly Input Information'!S100)</f>
        <v/>
      </c>
      <c r="X67" s="17" t="str">
        <f>IF('Yearly Input Information'!T100=0,"",'Yearly Input Information'!T50*'Yearly Input Information'!T100)</f>
        <v/>
      </c>
      <c r="Y67" s="17" t="str">
        <f>IF('Yearly Input Information'!U100=0,"",'Yearly Input Information'!U50*'Yearly Input Information'!U100)</f>
        <v/>
      </c>
      <c r="Z67" s="17" t="str">
        <f>IF('Yearly Input Information'!V100=0,"",'Yearly Input Information'!V50*'Yearly Input Information'!V100)</f>
        <v/>
      </c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6"/>
      <c r="BF67" s="6"/>
      <c r="BG67" s="6"/>
      <c r="BH67" s="6"/>
    </row>
    <row r="68" spans="1:60" s="82" customFormat="1" ht="16" thickBot="1">
      <c r="A68" s="35" t="s">
        <v>34</v>
      </c>
      <c r="B68" s="19"/>
      <c r="C68" s="81"/>
      <c r="D68" s="124" t="s">
        <v>118</v>
      </c>
      <c r="E68" s="125"/>
      <c r="F68" s="126"/>
      <c r="G68" s="125">
        <f>SUM(G62:G66)</f>
        <v>0</v>
      </c>
      <c r="H68" s="125">
        <f t="shared" ref="H68:Z68" si="3">SUM(H62:H66)</f>
        <v>0</v>
      </c>
      <c r="I68" s="125">
        <f t="shared" si="3"/>
        <v>0</v>
      </c>
      <c r="J68" s="125">
        <f t="shared" si="3"/>
        <v>0</v>
      </c>
      <c r="K68" s="125">
        <f t="shared" si="3"/>
        <v>31.702576183084794</v>
      </c>
      <c r="L68" s="125">
        <f t="shared" si="3"/>
        <v>32.336627706746498</v>
      </c>
      <c r="M68" s="125">
        <f t="shared" si="3"/>
        <v>32.983360260881419</v>
      </c>
      <c r="N68" s="125">
        <f t="shared" si="3"/>
        <v>33.643027466099049</v>
      </c>
      <c r="O68" s="125">
        <f t="shared" si="3"/>
        <v>34.315888015421031</v>
      </c>
      <c r="P68" s="125">
        <f t="shared" si="3"/>
        <v>35.002205775729458</v>
      </c>
      <c r="Q68" s="125">
        <f t="shared" si="3"/>
        <v>35.702249891244037</v>
      </c>
      <c r="R68" s="125">
        <f t="shared" si="3"/>
        <v>36.416294889068922</v>
      </c>
      <c r="S68" s="125">
        <f t="shared" si="3"/>
        <v>37.144620786850297</v>
      </c>
      <c r="T68" s="125">
        <f t="shared" si="3"/>
        <v>37.887513202587307</v>
      </c>
      <c r="U68" s="125">
        <f t="shared" si="3"/>
        <v>38.645263466639037</v>
      </c>
      <c r="V68" s="125">
        <f t="shared" si="3"/>
        <v>39.418168735971832</v>
      </c>
      <c r="W68" s="125">
        <f t="shared" si="3"/>
        <v>40.206532110691271</v>
      </c>
      <c r="X68" s="125">
        <f t="shared" si="3"/>
        <v>41.010662752905091</v>
      </c>
      <c r="Y68" s="125">
        <f t="shared" si="3"/>
        <v>41.830876007963198</v>
      </c>
      <c r="Z68" s="125">
        <f t="shared" si="3"/>
        <v>42.667493528122463</v>
      </c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8"/>
      <c r="BF68" s="128"/>
      <c r="BG68" s="128"/>
      <c r="BH68" s="128"/>
    </row>
    <row r="69" spans="1:60" s="4" customFormat="1">
      <c r="A69" s="37"/>
      <c r="C69" s="47"/>
      <c r="D69" s="9"/>
      <c r="E69" s="9"/>
      <c r="F69" s="119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6"/>
      <c r="BF69" s="6"/>
      <c r="BG69" s="6"/>
      <c r="BH69" s="6"/>
    </row>
    <row r="70" spans="1:60" s="4" customFormat="1" ht="16" thickBot="1">
      <c r="A70" s="135" t="s">
        <v>35</v>
      </c>
      <c r="B70" s="19"/>
      <c r="C70" s="5"/>
      <c r="D70" s="8"/>
      <c r="E70" s="21"/>
      <c r="F70" s="120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6"/>
      <c r="BF70" s="6"/>
      <c r="BG70" s="6"/>
      <c r="BH70" s="6"/>
    </row>
    <row r="71" spans="1:60" s="4" customFormat="1">
      <c r="A71" s="37" t="str">
        <f>'Yearly Input Information'!A102</f>
        <v>Taxes</v>
      </c>
      <c r="B71" s="27"/>
      <c r="D71" s="18" t="s">
        <v>118</v>
      </c>
      <c r="E71" s="9">
        <f>IF(A71="Taxes",1.25,K5)</f>
        <v>1.25</v>
      </c>
      <c r="F71" s="119" t="s">
        <v>118</v>
      </c>
      <c r="G71" s="17">
        <f t="shared" ref="G71:Z71" si="4">IF($A$71="Rent Expense",$K$5,1.25)</f>
        <v>1.25</v>
      </c>
      <c r="H71" s="17">
        <f t="shared" si="4"/>
        <v>1.25</v>
      </c>
      <c r="I71" s="17">
        <f t="shared" si="4"/>
        <v>1.25</v>
      </c>
      <c r="J71" s="17">
        <f t="shared" si="4"/>
        <v>1.25</v>
      </c>
      <c r="K71" s="17">
        <f t="shared" si="4"/>
        <v>1.25</v>
      </c>
      <c r="L71" s="17">
        <f t="shared" si="4"/>
        <v>1.25</v>
      </c>
      <c r="M71" s="17">
        <f t="shared" si="4"/>
        <v>1.25</v>
      </c>
      <c r="N71" s="17">
        <f t="shared" si="4"/>
        <v>1.25</v>
      </c>
      <c r="O71" s="17">
        <f t="shared" si="4"/>
        <v>1.25</v>
      </c>
      <c r="P71" s="17">
        <f t="shared" si="4"/>
        <v>1.25</v>
      </c>
      <c r="Q71" s="17">
        <f t="shared" si="4"/>
        <v>1.25</v>
      </c>
      <c r="R71" s="17">
        <f t="shared" si="4"/>
        <v>1.25</v>
      </c>
      <c r="S71" s="17">
        <f t="shared" si="4"/>
        <v>1.25</v>
      </c>
      <c r="T71" s="17">
        <f t="shared" si="4"/>
        <v>1.25</v>
      </c>
      <c r="U71" s="17">
        <f t="shared" si="4"/>
        <v>1.25</v>
      </c>
      <c r="V71" s="17">
        <f t="shared" si="4"/>
        <v>1.25</v>
      </c>
      <c r="W71" s="17">
        <f t="shared" si="4"/>
        <v>1.25</v>
      </c>
      <c r="X71" s="17">
        <f t="shared" si="4"/>
        <v>1.25</v>
      </c>
      <c r="Y71" s="17">
        <f t="shared" si="4"/>
        <v>1.25</v>
      </c>
      <c r="Z71" s="17">
        <f t="shared" si="4"/>
        <v>1.25</v>
      </c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6"/>
      <c r="BF71" s="6"/>
      <c r="BG71" s="6"/>
      <c r="BH71" s="6"/>
    </row>
    <row r="72" spans="1:60" s="4" customFormat="1">
      <c r="A72" s="37" t="str">
        <f>'Yearly Input Information'!A103</f>
        <v>Insurance Expenses</v>
      </c>
      <c r="D72" s="18" t="s">
        <v>118</v>
      </c>
      <c r="E72" s="24">
        <f>K7/D5</f>
        <v>5</v>
      </c>
      <c r="F72" s="119" t="s">
        <v>43</v>
      </c>
      <c r="G72" s="17">
        <f t="shared" ref="G72:Z72" si="5">$E$72</f>
        <v>5</v>
      </c>
      <c r="H72" s="17">
        <f t="shared" si="5"/>
        <v>5</v>
      </c>
      <c r="I72" s="17">
        <f t="shared" si="5"/>
        <v>5</v>
      </c>
      <c r="J72" s="17">
        <f t="shared" si="5"/>
        <v>5</v>
      </c>
      <c r="K72" s="17">
        <f t="shared" si="5"/>
        <v>5</v>
      </c>
      <c r="L72" s="17">
        <f t="shared" si="5"/>
        <v>5</v>
      </c>
      <c r="M72" s="17">
        <f t="shared" si="5"/>
        <v>5</v>
      </c>
      <c r="N72" s="17">
        <f t="shared" si="5"/>
        <v>5</v>
      </c>
      <c r="O72" s="17">
        <f t="shared" si="5"/>
        <v>5</v>
      </c>
      <c r="P72" s="17">
        <f t="shared" si="5"/>
        <v>5</v>
      </c>
      <c r="Q72" s="17">
        <f t="shared" si="5"/>
        <v>5</v>
      </c>
      <c r="R72" s="17">
        <f t="shared" si="5"/>
        <v>5</v>
      </c>
      <c r="S72" s="17">
        <f t="shared" si="5"/>
        <v>5</v>
      </c>
      <c r="T72" s="17">
        <f t="shared" si="5"/>
        <v>5</v>
      </c>
      <c r="U72" s="17">
        <f t="shared" si="5"/>
        <v>5</v>
      </c>
      <c r="V72" s="17">
        <f t="shared" si="5"/>
        <v>5</v>
      </c>
      <c r="W72" s="17">
        <f t="shared" si="5"/>
        <v>5</v>
      </c>
      <c r="X72" s="17">
        <f t="shared" si="5"/>
        <v>5</v>
      </c>
      <c r="Y72" s="17">
        <f t="shared" si="5"/>
        <v>5</v>
      </c>
      <c r="Z72" s="17">
        <f t="shared" si="5"/>
        <v>5</v>
      </c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6"/>
      <c r="BF72" s="6"/>
      <c r="BG72" s="6"/>
      <c r="BH72" s="6"/>
    </row>
    <row r="73" spans="1:60" s="4" customFormat="1">
      <c r="A73" s="37" t="str">
        <f>'Yearly Input Information'!A104</f>
        <v>Land Interest Expense</v>
      </c>
      <c r="D73" s="18" t="s">
        <v>118</v>
      </c>
      <c r="E73" s="24">
        <f>IF(D6="Rented","",K6/D5)</f>
        <v>1</v>
      </c>
      <c r="F73" s="119" t="s">
        <v>118</v>
      </c>
      <c r="G73" s="17">
        <f t="shared" ref="G73:Z73" si="6">IF($D$6="Rented","",$E$73)</f>
        <v>1</v>
      </c>
      <c r="H73" s="17">
        <f t="shared" si="6"/>
        <v>1</v>
      </c>
      <c r="I73" s="17">
        <f t="shared" si="6"/>
        <v>1</v>
      </c>
      <c r="J73" s="17">
        <f t="shared" si="6"/>
        <v>1</v>
      </c>
      <c r="K73" s="17">
        <f t="shared" si="6"/>
        <v>1</v>
      </c>
      <c r="L73" s="17">
        <f t="shared" si="6"/>
        <v>1</v>
      </c>
      <c r="M73" s="17">
        <f t="shared" si="6"/>
        <v>1</v>
      </c>
      <c r="N73" s="17">
        <f t="shared" si="6"/>
        <v>1</v>
      </c>
      <c r="O73" s="17">
        <f t="shared" si="6"/>
        <v>1</v>
      </c>
      <c r="P73" s="17">
        <f t="shared" si="6"/>
        <v>1</v>
      </c>
      <c r="Q73" s="17">
        <f t="shared" si="6"/>
        <v>1</v>
      </c>
      <c r="R73" s="17">
        <f t="shared" si="6"/>
        <v>1</v>
      </c>
      <c r="S73" s="17">
        <f t="shared" si="6"/>
        <v>1</v>
      </c>
      <c r="T73" s="17">
        <f t="shared" si="6"/>
        <v>1</v>
      </c>
      <c r="U73" s="17">
        <f t="shared" si="6"/>
        <v>1</v>
      </c>
      <c r="V73" s="17">
        <f t="shared" si="6"/>
        <v>1</v>
      </c>
      <c r="W73" s="17">
        <f t="shared" si="6"/>
        <v>1</v>
      </c>
      <c r="X73" s="17">
        <f t="shared" si="6"/>
        <v>1</v>
      </c>
      <c r="Y73" s="17">
        <f t="shared" si="6"/>
        <v>1</v>
      </c>
      <c r="Z73" s="17">
        <f t="shared" si="6"/>
        <v>1</v>
      </c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6"/>
      <c r="BF73" s="6"/>
      <c r="BG73" s="6"/>
      <c r="BH73" s="6"/>
    </row>
    <row r="74" spans="1:60" s="4" customFormat="1">
      <c r="A74" s="37" t="str">
        <f>'Yearly Input Information'!A105</f>
        <v>Fetilizer &amp; Chemical Interest</v>
      </c>
      <c r="D74" s="18" t="s">
        <v>118</v>
      </c>
      <c r="E74" s="121">
        <f>K4</f>
        <v>6.5000000000000002E-2</v>
      </c>
      <c r="F74" s="119" t="s">
        <v>198</v>
      </c>
      <c r="G74" s="17">
        <f t="shared" ref="G74:Z74" si="7">SUM(G36:G42,G23)*$E$74</f>
        <v>1.9321900000000003</v>
      </c>
      <c r="H74" s="17">
        <f t="shared" si="7"/>
        <v>4.2135873000000004</v>
      </c>
      <c r="I74" s="17">
        <f t="shared" si="7"/>
        <v>4.2966890459999991</v>
      </c>
      <c r="J74" s="17">
        <f t="shared" si="7"/>
        <v>4.3814528269200004</v>
      </c>
      <c r="K74" s="17">
        <f t="shared" si="7"/>
        <v>4.8579771366360003</v>
      </c>
      <c r="L74" s="17">
        <f t="shared" si="7"/>
        <v>6.0089158868263208</v>
      </c>
      <c r="M74" s="17">
        <f t="shared" si="7"/>
        <v>5.0518760129560949</v>
      </c>
      <c r="N74" s="17">
        <f t="shared" si="7"/>
        <v>5.1517435332152166</v>
      </c>
      <c r="O74" s="17">
        <f t="shared" si="7"/>
        <v>5.2536084038795208</v>
      </c>
      <c r="P74" s="17">
        <f t="shared" si="7"/>
        <v>5.3575105719571114</v>
      </c>
      <c r="Q74" s="17">
        <f t="shared" si="7"/>
        <v>6.6282399517012456</v>
      </c>
      <c r="R74" s="17">
        <f t="shared" si="7"/>
        <v>6.2019813734202689</v>
      </c>
      <c r="S74" s="17">
        <f t="shared" si="7"/>
        <v>6.3248510008886747</v>
      </c>
      <c r="T74" s="17">
        <f t="shared" si="7"/>
        <v>6.4501780209064474</v>
      </c>
      <c r="U74" s="17">
        <f t="shared" si="7"/>
        <v>6.5780115813245761</v>
      </c>
      <c r="V74" s="17">
        <f t="shared" si="7"/>
        <v>7.3120237626894404</v>
      </c>
      <c r="W74" s="17">
        <f t="shared" si="7"/>
        <v>6.8413998492100898</v>
      </c>
      <c r="X74" s="17">
        <f t="shared" si="7"/>
        <v>6.9770578461942909</v>
      </c>
      <c r="Y74" s="17">
        <f t="shared" si="7"/>
        <v>7.1154290031181766</v>
      </c>
      <c r="Z74" s="17">
        <f t="shared" si="7"/>
        <v>7.2565675831805407</v>
      </c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6"/>
      <c r="BF74" s="6"/>
      <c r="BG74" s="6"/>
      <c r="BH74" s="6"/>
    </row>
    <row r="75" spans="1:60" s="4" customFormat="1">
      <c r="A75" s="37" t="s">
        <v>36</v>
      </c>
      <c r="D75" s="18" t="s">
        <v>118</v>
      </c>
      <c r="E75" s="9"/>
      <c r="F75" s="119" t="s">
        <v>42</v>
      </c>
      <c r="G75" s="17">
        <f>'Depreciation Schedule'!$J$24/'Budget Display'!$D$5</f>
        <v>159</v>
      </c>
      <c r="H75" s="17">
        <f>'Depreciation Schedule'!$J$24/'Budget Display'!$D$5</f>
        <v>159</v>
      </c>
      <c r="I75" s="17">
        <f>'Depreciation Schedule'!$J$24/'Budget Display'!$D$5</f>
        <v>159</v>
      </c>
      <c r="J75" s="17">
        <f>'Depreciation Schedule'!$J$24/'Budget Display'!$D$5</f>
        <v>159</v>
      </c>
      <c r="K75" s="17">
        <f>('Depreciation Schedule'!$J$23/'Budget Display'!$D$5)+('Depreciation Schedule'!$J$24/'Budget Display'!$D$5)</f>
        <v>414.62900000000002</v>
      </c>
      <c r="L75" s="17">
        <f>('Depreciation Schedule'!$J$23/'Budget Display'!$D$5)+('Depreciation Schedule'!$J$24/'Budget Display'!$D$5)</f>
        <v>414.62900000000002</v>
      </c>
      <c r="M75" s="17">
        <f>('Depreciation Schedule'!$J$23/'Budget Display'!$D$5)+('Depreciation Schedule'!$J$24/'Budget Display'!$D$5)</f>
        <v>414.62900000000002</v>
      </c>
      <c r="N75" s="17">
        <f>('Depreciation Schedule'!$J$23/'Budget Display'!$D$5)+('Depreciation Schedule'!$J$24/'Budget Display'!$D$5)</f>
        <v>414.62900000000002</v>
      </c>
      <c r="O75" s="17">
        <f>('Depreciation Schedule'!$J$23/'Budget Display'!$D$5)+('Depreciation Schedule'!$J$24/'Budget Display'!$D$5)</f>
        <v>414.62900000000002</v>
      </c>
      <c r="P75" s="17">
        <f>('Depreciation Schedule'!$J$23/'Budget Display'!$D$5)+('Depreciation Schedule'!$J$24/'Budget Display'!$D$5)</f>
        <v>414.62900000000002</v>
      </c>
      <c r="Q75" s="17">
        <f>'Depreciation Schedule'!$J$23/'Budget Display'!$D$5</f>
        <v>255.62900000000002</v>
      </c>
      <c r="R75" s="17">
        <f>'Depreciation Schedule'!$J$23/'Budget Display'!$D$5</f>
        <v>255.62900000000002</v>
      </c>
      <c r="S75" s="17">
        <f>'Depreciation Schedule'!$J$23/'Budget Display'!$D$5</f>
        <v>255.62900000000002</v>
      </c>
      <c r="T75" s="17">
        <f>'Depreciation Schedule'!$J$23/'Budget Display'!$D$5</f>
        <v>255.62900000000002</v>
      </c>
      <c r="U75" s="17"/>
      <c r="V75" s="17"/>
      <c r="W75" s="17"/>
      <c r="X75" s="17"/>
      <c r="Y75" s="17"/>
      <c r="Z75" s="17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6"/>
      <c r="BF75" s="6"/>
      <c r="BG75" s="6"/>
      <c r="BH75" s="6"/>
    </row>
    <row r="76" spans="1:60" s="4" customFormat="1">
      <c r="A76" s="88" t="str">
        <f>'Yearly Input Information'!A106</f>
        <v>Machinery Interest</v>
      </c>
      <c r="D76" s="18" t="s">
        <v>118</v>
      </c>
      <c r="E76" s="139">
        <f>K4</f>
        <v>6.5000000000000002E-2</v>
      </c>
      <c r="F76" s="119" t="s">
        <v>42</v>
      </c>
      <c r="G76" s="17">
        <f>($E$76*'Depreciation Schedule'!F31)/$D$5</f>
        <v>103.35</v>
      </c>
      <c r="H76" s="17">
        <f>($E$76*'Depreciation Schedule'!G31)/$D$5</f>
        <v>93.015000000000001</v>
      </c>
      <c r="I76" s="17">
        <f>($E$76*'Depreciation Schedule'!J31)/$D$5</f>
        <v>82.68</v>
      </c>
      <c r="J76" s="17">
        <f>($E$76*'Depreciation Schedule'!K31)/$D$5</f>
        <v>72.344999999999999</v>
      </c>
      <c r="K76" s="17">
        <f>($E$76*'Depreciation Schedule'!L31)/$D$5</f>
        <v>181.65549999999999</v>
      </c>
      <c r="L76" s="17">
        <f>($E$76*'Depreciation Schedule'!M31)/$D$5</f>
        <v>159.35595000000001</v>
      </c>
      <c r="M76" s="17">
        <f>($E$76*'Depreciation Schedule'!N31)/$D$5</f>
        <v>137.05640000000002</v>
      </c>
      <c r="N76" s="17">
        <f>($E$76*'Depreciation Schedule'!O31)/$D$5</f>
        <v>114.75685</v>
      </c>
      <c r="O76" s="17">
        <f>($E$76*'Depreciation Schedule'!P31)/$D$5</f>
        <v>92.457299999999989</v>
      </c>
      <c r="P76" s="17">
        <f>($E$76*'Depreciation Schedule'!Q31)/$D$5</f>
        <v>70.157750000000007</v>
      </c>
      <c r="Q76" s="17">
        <f>($E$76*'Depreciation Schedule'!R31)/$D$5</f>
        <v>47.858199999999997</v>
      </c>
      <c r="R76" s="17">
        <f>($E$76*'Depreciation Schedule'!S31)/$D$5</f>
        <v>35.893650000000001</v>
      </c>
      <c r="S76" s="17">
        <f>($E$76*'Depreciation Schedule'!T31)/$D$5</f>
        <v>23.929099999999998</v>
      </c>
      <c r="T76" s="17">
        <f>($E$76*'Depreciation Schedule'!U31)/$D$5</f>
        <v>11.964549999999999</v>
      </c>
      <c r="U76" s="17"/>
      <c r="V76" s="17"/>
      <c r="W76" s="17"/>
      <c r="X76" s="17"/>
      <c r="Y76" s="17"/>
      <c r="Z76" s="17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6"/>
      <c r="BF76" s="6"/>
      <c r="BG76" s="6"/>
      <c r="BH76" s="6"/>
    </row>
    <row r="77" spans="1:60" s="82" customFormat="1" ht="16" thickBot="1">
      <c r="A77" s="35" t="s">
        <v>37</v>
      </c>
      <c r="B77" s="19"/>
      <c r="C77" s="81"/>
      <c r="D77" s="124" t="s">
        <v>118</v>
      </c>
      <c r="E77" s="125"/>
      <c r="F77" s="126"/>
      <c r="G77" s="125">
        <f>SUM(G71:G76)</f>
        <v>271.53219000000001</v>
      </c>
      <c r="H77" s="125">
        <f t="shared" ref="H77:Z77" si="8">SUM(H71:H76)</f>
        <v>263.47858730000002</v>
      </c>
      <c r="I77" s="125">
        <f t="shared" si="8"/>
        <v>253.22668904600002</v>
      </c>
      <c r="J77" s="125">
        <f t="shared" si="8"/>
        <v>242.97645282692</v>
      </c>
      <c r="K77" s="125">
        <f t="shared" si="8"/>
        <v>608.39247713663599</v>
      </c>
      <c r="L77" s="125">
        <f t="shared" si="8"/>
        <v>587.24386588682637</v>
      </c>
      <c r="M77" s="125">
        <f t="shared" si="8"/>
        <v>563.98727601295616</v>
      </c>
      <c r="N77" s="125">
        <f t="shared" si="8"/>
        <v>541.78759353321527</v>
      </c>
      <c r="O77" s="125">
        <f t="shared" si="8"/>
        <v>519.58990840387958</v>
      </c>
      <c r="P77" s="125">
        <f t="shared" si="8"/>
        <v>497.39426057195715</v>
      </c>
      <c r="Q77" s="125">
        <f t="shared" si="8"/>
        <v>317.36543995170126</v>
      </c>
      <c r="R77" s="125">
        <f t="shared" si="8"/>
        <v>304.97463137342027</v>
      </c>
      <c r="S77" s="125">
        <f t="shared" si="8"/>
        <v>293.13295100088868</v>
      </c>
      <c r="T77" s="125">
        <f t="shared" si="8"/>
        <v>281.29372802090643</v>
      </c>
      <c r="U77" s="125">
        <f t="shared" si="8"/>
        <v>13.828011581324576</v>
      </c>
      <c r="V77" s="125">
        <f t="shared" si="8"/>
        <v>14.56202376268944</v>
      </c>
      <c r="W77" s="125">
        <f t="shared" si="8"/>
        <v>14.09139984921009</v>
      </c>
      <c r="X77" s="125">
        <f t="shared" si="8"/>
        <v>14.227057846194292</v>
      </c>
      <c r="Y77" s="125">
        <f t="shared" si="8"/>
        <v>14.365429003118177</v>
      </c>
      <c r="Z77" s="125">
        <f t="shared" si="8"/>
        <v>14.506567583180541</v>
      </c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8"/>
      <c r="BF77" s="128"/>
      <c r="BG77" s="128"/>
      <c r="BH77" s="128"/>
    </row>
    <row r="78" spans="1:60" s="4" customFormat="1" ht="15">
      <c r="A78" s="79"/>
      <c r="B78" s="80"/>
      <c r="C78" s="6"/>
      <c r="D78" s="18"/>
      <c r="E78" s="24"/>
      <c r="F78" s="119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6"/>
      <c r="BF78" s="6"/>
      <c r="BG78" s="6"/>
      <c r="BH78" s="6"/>
    </row>
    <row r="79" spans="1:60" s="82" customFormat="1" ht="16" thickBot="1">
      <c r="A79" s="35" t="s">
        <v>41</v>
      </c>
      <c r="B79" s="81"/>
      <c r="C79" s="81"/>
      <c r="D79" s="124" t="s">
        <v>118</v>
      </c>
      <c r="E79" s="81"/>
      <c r="F79" s="130"/>
      <c r="G79" s="125">
        <f>SUM(G32,G56,G77,G68)</f>
        <v>1570.0321899999999</v>
      </c>
      <c r="H79" s="125">
        <f t="shared" ref="H79:Z79" si="9">SUM(H32,H56,H77,H68)</f>
        <v>757.05800729999987</v>
      </c>
      <c r="I79" s="125">
        <f t="shared" si="9"/>
        <v>659.95099744599997</v>
      </c>
      <c r="J79" s="125">
        <f t="shared" si="9"/>
        <v>692.11804739492004</v>
      </c>
      <c r="K79" s="125">
        <f t="shared" si="9"/>
        <v>1257.3885624303709</v>
      </c>
      <c r="L79" s="125">
        <f t="shared" si="9"/>
        <v>1005.2324106934759</v>
      </c>
      <c r="M79" s="125">
        <f t="shared" si="9"/>
        <v>968.56355415255791</v>
      </c>
      <c r="N79" s="125">
        <f t="shared" si="9"/>
        <v>949.237947235609</v>
      </c>
      <c r="O79" s="125">
        <f t="shared" si="9"/>
        <v>929.97181918032106</v>
      </c>
      <c r="P79" s="125">
        <f t="shared" si="9"/>
        <v>1160.7663595639276</v>
      </c>
      <c r="Q79" s="125">
        <f t="shared" si="9"/>
        <v>751.70674889743395</v>
      </c>
      <c r="R79" s="125">
        <f t="shared" si="9"/>
        <v>734.20603377014459</v>
      </c>
      <c r="S79" s="125">
        <f t="shared" si="9"/>
        <v>725.73153144554749</v>
      </c>
      <c r="T79" s="125">
        <f t="shared" si="9"/>
        <v>717.32683007445848</v>
      </c>
      <c r="U79" s="125">
        <f t="shared" si="9"/>
        <v>703.36432567594761</v>
      </c>
      <c r="V79" s="125">
        <f t="shared" si="9"/>
        <v>466.95810567364146</v>
      </c>
      <c r="W79" s="125">
        <f t="shared" si="9"/>
        <v>460.8457320332559</v>
      </c>
      <c r="X79" s="125">
        <f t="shared" si="9"/>
        <v>564.69902667392103</v>
      </c>
      <c r="Y79" s="125">
        <f t="shared" si="9"/>
        <v>468.62938720739942</v>
      </c>
      <c r="Z79" s="125">
        <f t="shared" si="9"/>
        <v>722.6383549515474</v>
      </c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8"/>
      <c r="BF79" s="128"/>
      <c r="BG79" s="128"/>
      <c r="BH79" s="128"/>
    </row>
    <row r="80" spans="1:60" s="4" customFormat="1">
      <c r="C80" s="133"/>
      <c r="F80" s="133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</row>
    <row r="81" spans="1:60" s="82" customFormat="1" ht="16" thickBot="1">
      <c r="A81" s="35" t="s">
        <v>140</v>
      </c>
      <c r="B81" s="81"/>
      <c r="C81" s="81"/>
      <c r="D81" s="124" t="s">
        <v>26</v>
      </c>
      <c r="E81" s="81"/>
      <c r="F81" s="130"/>
      <c r="G81" s="125" t="str">
        <f>IF(G13=0,"",G79/'Yearly Input Information'!C34)</f>
        <v/>
      </c>
      <c r="H81" s="125" t="str">
        <f>IF(H13=0,"",H79/'Yearly Input Information'!D34)</f>
        <v/>
      </c>
      <c r="I81" s="125" t="str">
        <f>IF(I13=0,"",I79/'Yearly Input Information'!E34)</f>
        <v/>
      </c>
      <c r="J81" s="125">
        <f>IF(J13=0,"",J79/'Yearly Input Information'!F34)</f>
        <v>23.070601579830669</v>
      </c>
      <c r="K81" s="125">
        <f>IF(K13=0,"",K79/'Yearly Input Information'!G34)</f>
        <v>10.391641011821248</v>
      </c>
      <c r="L81" s="125">
        <f>IF(L13=0,"",L79/'Yearly Input Information'!H34)</f>
        <v>4.171088841051767</v>
      </c>
      <c r="M81" s="125">
        <f>IF(M13=0,"",M79/'Yearly Input Information'!I34)</f>
        <v>2.6755899285982263</v>
      </c>
      <c r="N81" s="125">
        <f>IF(N13=0,"",N79/'Yearly Input Information'!J34)</f>
        <v>1.9693733345137117</v>
      </c>
      <c r="O81" s="125">
        <f>IF(O13=0,"",O79/'Yearly Input Information'!K34)</f>
        <v>1.5422418228529371</v>
      </c>
      <c r="P81" s="125">
        <f>IF(P13=0,"",P79/'Yearly Input Information'!L34)</f>
        <v>1.6054859745005914</v>
      </c>
      <c r="Q81" s="125">
        <f>IF(Q13=0,"",Q79/'Yearly Input Information'!M34)</f>
        <v>0.77977878516331323</v>
      </c>
      <c r="R81" s="125">
        <f>IF(R13=0,"",R79/'Yearly Input Information'!N34)</f>
        <v>0.56477387213088048</v>
      </c>
      <c r="S81" s="125">
        <f>IF(S13=0,"",S79/'Yearly Input Information'!O34)</f>
        <v>0.42690090085032206</v>
      </c>
      <c r="T81" s="125">
        <f>IF(T13=0,"",T79/'Yearly Input Information'!P34)</f>
        <v>0.55178986928804497</v>
      </c>
      <c r="U81" s="125">
        <f>IF(U13=0,"",U79/'Yearly Input Information'!Q34)</f>
        <v>0.41374372098585155</v>
      </c>
      <c r="V81" s="125">
        <f>IF(V13=0,"",V79/'Yearly Input Information'!R34)</f>
        <v>0.35919854282587804</v>
      </c>
      <c r="W81" s="125">
        <f>IF(W13=0,"",W79/'Yearly Input Information'!S34)</f>
        <v>0.27108572472544462</v>
      </c>
      <c r="X81" s="125">
        <f>IF(X13=0,"",X79/'Yearly Input Information'!T34)</f>
        <v>0.43438386667224693</v>
      </c>
      <c r="Y81" s="125">
        <f>IF(Y13=0,"",Y79/'Yearly Input Information'!U34)</f>
        <v>0.27566434541611728</v>
      </c>
      <c r="Z81" s="125">
        <f>IF(Z13=0,"",Z79/'Yearly Input Information'!V34)</f>
        <v>0.55587565765503644</v>
      </c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  <c r="BB81" s="127"/>
      <c r="BC81" s="127"/>
      <c r="BD81" s="127"/>
      <c r="BE81" s="128"/>
      <c r="BF81" s="128"/>
      <c r="BG81" s="128"/>
      <c r="BH81" s="128"/>
    </row>
    <row r="82" spans="1:60" s="4" customFormat="1">
      <c r="A82" s="34"/>
      <c r="D82" s="25"/>
      <c r="E82" s="6"/>
      <c r="F82" s="122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6"/>
      <c r="BF82" s="6"/>
      <c r="BG82" s="6"/>
      <c r="BH82" s="6"/>
    </row>
    <row r="83" spans="1:60" s="82" customFormat="1" ht="16" thickBot="1">
      <c r="A83" s="35" t="s">
        <v>249</v>
      </c>
      <c r="B83" s="81"/>
      <c r="C83" s="81"/>
      <c r="D83" s="124" t="s">
        <v>118</v>
      </c>
      <c r="E83" s="81"/>
      <c r="F83" s="130"/>
      <c r="G83" s="125">
        <f>G14-G79</f>
        <v>-1570.0321899999999</v>
      </c>
      <c r="H83" s="125">
        <f t="shared" ref="H83:Z83" si="10">H14-H79</f>
        <v>-757.05800729999987</v>
      </c>
      <c r="I83" s="125">
        <f t="shared" si="10"/>
        <v>-659.95099744599997</v>
      </c>
      <c r="J83" s="125">
        <f t="shared" si="10"/>
        <v>-641.71804739492006</v>
      </c>
      <c r="K83" s="125">
        <f t="shared" si="10"/>
        <v>-1054.108562430371</v>
      </c>
      <c r="L83" s="125">
        <f t="shared" si="10"/>
        <v>-600.35241069347592</v>
      </c>
      <c r="M83" s="125">
        <f t="shared" si="10"/>
        <v>-360.40355415255794</v>
      </c>
      <c r="N83" s="125">
        <f t="shared" si="10"/>
        <v>-139.47794723560901</v>
      </c>
      <c r="O83" s="125">
        <f t="shared" si="10"/>
        <v>83.068180819678901</v>
      </c>
      <c r="P83" s="125">
        <f t="shared" si="10"/>
        <v>53.873640436072264</v>
      </c>
      <c r="Q83" s="125">
        <f t="shared" si="10"/>
        <v>867.81325110256603</v>
      </c>
      <c r="R83" s="125">
        <f t="shared" si="10"/>
        <v>1449.7939662298554</v>
      </c>
      <c r="S83" s="125">
        <f t="shared" si="10"/>
        <v>2130.2684685544527</v>
      </c>
      <c r="T83" s="125">
        <f t="shared" si="10"/>
        <v>1466.6731699255415</v>
      </c>
      <c r="U83" s="125">
        <f t="shared" si="10"/>
        <v>2152.6356743240522</v>
      </c>
      <c r="V83" s="125">
        <f t="shared" si="10"/>
        <v>1717.0418943263585</v>
      </c>
      <c r="W83" s="125">
        <f t="shared" si="10"/>
        <v>2395.1542679667441</v>
      </c>
      <c r="X83" s="125">
        <f t="shared" si="10"/>
        <v>1619.300973326079</v>
      </c>
      <c r="Y83" s="125">
        <f t="shared" si="10"/>
        <v>2387.3706127926007</v>
      </c>
      <c r="Z83" s="125">
        <f t="shared" si="10"/>
        <v>1461.3616450484526</v>
      </c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7"/>
      <c r="BD83" s="127"/>
      <c r="BE83" s="128"/>
      <c r="BF83" s="128"/>
      <c r="BG83" s="128"/>
      <c r="BH83" s="128"/>
    </row>
    <row r="84" spans="1:60" s="4" customFormat="1">
      <c r="C84" s="133"/>
      <c r="F84" s="133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</row>
    <row r="85" spans="1:60" s="45" customFormat="1" ht="16.5" customHeight="1">
      <c r="A85" s="48" t="s">
        <v>180</v>
      </c>
      <c r="C85" s="129"/>
      <c r="D85" s="131" t="s">
        <v>118</v>
      </c>
      <c r="E85" s="131"/>
      <c r="F85" s="129"/>
      <c r="G85" s="132">
        <f>G83*G165</f>
        <v>-1474.2086291079811</v>
      </c>
      <c r="H85" s="132">
        <f t="shared" ref="H85:Z85" si="11">H83*H165</f>
        <v>-667.46721973153467</v>
      </c>
      <c r="I85" s="132">
        <f t="shared" si="11"/>
        <v>-546.33983387014177</v>
      </c>
      <c r="J85" s="132">
        <f t="shared" si="11"/>
        <v>-498.82225608400591</v>
      </c>
      <c r="K85" s="132">
        <f t="shared" si="11"/>
        <v>-769.37363933058043</v>
      </c>
      <c r="L85" s="132">
        <f t="shared" si="11"/>
        <v>-411.44199035147989</v>
      </c>
      <c r="M85" s="132">
        <f t="shared" si="11"/>
        <v>-231.92192694570682</v>
      </c>
      <c r="N85" s="132">
        <f t="shared" si="11"/>
        <v>-84.276925707520249</v>
      </c>
      <c r="O85" s="132">
        <f t="shared" si="11"/>
        <v>47.129000517958026</v>
      </c>
      <c r="P85" s="132">
        <f t="shared" si="11"/>
        <v>28.699890888567236</v>
      </c>
      <c r="Q85" s="132">
        <f t="shared" si="11"/>
        <v>434.09081017094024</v>
      </c>
      <c r="R85" s="132">
        <f t="shared" si="11"/>
        <v>680.94336833627779</v>
      </c>
      <c r="S85" s="132">
        <f t="shared" si="11"/>
        <v>939.48410791335971</v>
      </c>
      <c r="T85" s="132">
        <f t="shared" si="11"/>
        <v>607.34972417985705</v>
      </c>
      <c r="U85" s="132">
        <f t="shared" si="11"/>
        <v>837.00184763774644</v>
      </c>
      <c r="V85" s="132">
        <f t="shared" si="11"/>
        <v>626.8839737958649</v>
      </c>
      <c r="W85" s="132">
        <f t="shared" si="11"/>
        <v>821.08885760448629</v>
      </c>
      <c r="X85" s="132">
        <f t="shared" si="11"/>
        <v>521.23628043203894</v>
      </c>
      <c r="Y85" s="132">
        <f t="shared" si="11"/>
        <v>721.5680514897648</v>
      </c>
      <c r="Z85" s="132">
        <f t="shared" si="11"/>
        <v>414.73009304446947</v>
      </c>
      <c r="AA85" s="127"/>
      <c r="AB85" s="127"/>
      <c r="AC85" s="127"/>
      <c r="AD85" s="127"/>
      <c r="AE85" s="127"/>
      <c r="AF85" s="131"/>
      <c r="AG85" s="131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  <c r="AV85" s="131"/>
      <c r="AW85" s="131"/>
      <c r="AX85" s="131"/>
      <c r="AY85" s="131"/>
      <c r="AZ85" s="131"/>
      <c r="BA85" s="131"/>
      <c r="BB85" s="131"/>
      <c r="BC85" s="131"/>
      <c r="BD85" s="131"/>
      <c r="BE85" s="131"/>
      <c r="BF85" s="131"/>
      <c r="BG85" s="131"/>
      <c r="BH85" s="131"/>
    </row>
    <row r="86" spans="1:60" s="82" customFormat="1" ht="16" thickBot="1">
      <c r="A86" s="35" t="s">
        <v>180</v>
      </c>
      <c r="B86" s="81"/>
      <c r="C86" s="130"/>
      <c r="D86" s="52" t="s">
        <v>174</v>
      </c>
      <c r="E86" s="81"/>
      <c r="F86" s="130"/>
      <c r="G86" s="125">
        <f t="shared" ref="G86:O86" si="12">G85/$H$5</f>
        <v>-42.120246545942315</v>
      </c>
      <c r="H86" s="125">
        <f t="shared" si="12"/>
        <v>-19.070491992329561</v>
      </c>
      <c r="I86" s="125">
        <f t="shared" si="12"/>
        <v>-15.609709539146907</v>
      </c>
      <c r="J86" s="125">
        <f t="shared" si="12"/>
        <v>-14.252064459543027</v>
      </c>
      <c r="K86" s="125">
        <f t="shared" si="12"/>
        <v>-21.982103980873728</v>
      </c>
      <c r="L86" s="125">
        <f t="shared" si="12"/>
        <v>-11.755485438613711</v>
      </c>
      <c r="M86" s="125">
        <f t="shared" si="12"/>
        <v>-6.6263407698773378</v>
      </c>
      <c r="N86" s="125">
        <f t="shared" si="12"/>
        <v>-2.4079121630720071</v>
      </c>
      <c r="O86" s="125">
        <f t="shared" si="12"/>
        <v>1.3465428719416579</v>
      </c>
      <c r="P86" s="125">
        <f t="shared" ref="P86:W86" si="13">P85/$H$5</f>
        <v>0.81999688253049241</v>
      </c>
      <c r="Q86" s="125">
        <f t="shared" si="13"/>
        <v>12.402594576312579</v>
      </c>
      <c r="R86" s="125">
        <f t="shared" si="13"/>
        <v>19.455524809607937</v>
      </c>
      <c r="S86" s="125">
        <f t="shared" si="13"/>
        <v>26.84240308323885</v>
      </c>
      <c r="T86" s="125">
        <f t="shared" si="13"/>
        <v>17.35284926228163</v>
      </c>
      <c r="U86" s="125">
        <f t="shared" si="13"/>
        <v>23.914338503935614</v>
      </c>
      <c r="V86" s="125">
        <f t="shared" si="13"/>
        <v>17.910970679881853</v>
      </c>
      <c r="W86" s="125">
        <f t="shared" si="13"/>
        <v>23.459681645842466</v>
      </c>
      <c r="X86" s="125">
        <f>X85/$H$6</f>
        <v>22.66244697530604</v>
      </c>
      <c r="Y86" s="125">
        <f t="shared" ref="Y86:Z86" si="14">Y85/$H$6</f>
        <v>31.37252397781586</v>
      </c>
      <c r="Z86" s="125">
        <f t="shared" si="14"/>
        <v>18.031743175846497</v>
      </c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8"/>
      <c r="BF86" s="128"/>
      <c r="BG86" s="128"/>
      <c r="BH86" s="128"/>
    </row>
    <row r="87" spans="1:60" s="4" customFormat="1">
      <c r="C87" s="122"/>
      <c r="F87" s="122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</row>
    <row r="88" spans="1:60" s="45" customFormat="1" ht="16.5" customHeight="1">
      <c r="A88" s="48" t="s">
        <v>53</v>
      </c>
      <c r="C88" s="129"/>
      <c r="D88" s="131" t="s">
        <v>118</v>
      </c>
      <c r="E88" s="131"/>
      <c r="F88" s="129"/>
      <c r="G88" s="132">
        <f>SUM(G83)</f>
        <v>-1570.0321899999999</v>
      </c>
      <c r="H88" s="132">
        <f t="shared" ref="H88:Z88" si="15">G88+H83</f>
        <v>-2327.0901973</v>
      </c>
      <c r="I88" s="132">
        <f t="shared" si="15"/>
        <v>-2987.0411947459997</v>
      </c>
      <c r="J88" s="132">
        <f t="shared" si="15"/>
        <v>-3628.7592421409199</v>
      </c>
      <c r="K88" s="132">
        <f t="shared" si="15"/>
        <v>-4682.8678045712913</v>
      </c>
      <c r="L88" s="132">
        <f t="shared" si="15"/>
        <v>-5283.2202152647669</v>
      </c>
      <c r="M88" s="132">
        <f t="shared" si="15"/>
        <v>-5643.6237694173251</v>
      </c>
      <c r="N88" s="132">
        <f t="shared" si="15"/>
        <v>-5783.1017166529346</v>
      </c>
      <c r="O88" s="132">
        <f t="shared" si="15"/>
        <v>-5700.0335358332559</v>
      </c>
      <c r="P88" s="132">
        <f t="shared" si="15"/>
        <v>-5646.1598953971834</v>
      </c>
      <c r="Q88" s="132">
        <f t="shared" si="15"/>
        <v>-4778.3466442946174</v>
      </c>
      <c r="R88" s="132">
        <f t="shared" si="15"/>
        <v>-3328.5526780647619</v>
      </c>
      <c r="S88" s="132">
        <f t="shared" si="15"/>
        <v>-1198.2842095103092</v>
      </c>
      <c r="T88" s="132">
        <f t="shared" si="15"/>
        <v>268.3889604152323</v>
      </c>
      <c r="U88" s="132">
        <f t="shared" si="15"/>
        <v>2421.0246347392845</v>
      </c>
      <c r="V88" s="132">
        <f t="shared" si="15"/>
        <v>4138.0665290656434</v>
      </c>
      <c r="W88" s="132">
        <f t="shared" si="15"/>
        <v>6533.2207970323871</v>
      </c>
      <c r="X88" s="132">
        <f t="shared" si="15"/>
        <v>8152.5217703584658</v>
      </c>
      <c r="Y88" s="132">
        <f t="shared" si="15"/>
        <v>10539.892383151066</v>
      </c>
      <c r="Z88" s="132">
        <f t="shared" si="15"/>
        <v>12001.254028199519</v>
      </c>
      <c r="AA88" s="127"/>
      <c r="AB88" s="127"/>
      <c r="AC88" s="127"/>
      <c r="AD88" s="127"/>
      <c r="AE88" s="127"/>
      <c r="AF88" s="131"/>
      <c r="AG88" s="131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  <c r="AV88" s="131"/>
      <c r="AW88" s="131"/>
      <c r="AX88" s="131"/>
      <c r="AY88" s="131"/>
      <c r="AZ88" s="131"/>
      <c r="BA88" s="131"/>
      <c r="BB88" s="131"/>
      <c r="BC88" s="131"/>
      <c r="BD88" s="131"/>
      <c r="BE88" s="131"/>
      <c r="BF88" s="131"/>
      <c r="BG88" s="131"/>
      <c r="BH88" s="131"/>
    </row>
    <row r="89" spans="1:60" s="82" customFormat="1" ht="16" thickBot="1">
      <c r="A89" s="35" t="s">
        <v>220</v>
      </c>
      <c r="B89" s="81"/>
      <c r="C89" s="130"/>
      <c r="D89" s="52" t="s">
        <v>118</v>
      </c>
      <c r="E89" s="81"/>
      <c r="F89" s="130"/>
      <c r="G89" s="125">
        <f>G85</f>
        <v>-1474.2086291079811</v>
      </c>
      <c r="H89" s="125">
        <f>G89+H85</f>
        <v>-2141.6758488395158</v>
      </c>
      <c r="I89" s="125">
        <f>H89+I85</f>
        <v>-2688.0156827096575</v>
      </c>
      <c r="J89" s="125">
        <f t="shared" ref="J89:Z89" si="16">I89+J85</f>
        <v>-3186.8379387936634</v>
      </c>
      <c r="K89" s="125">
        <f t="shared" si="16"/>
        <v>-3956.2115781242437</v>
      </c>
      <c r="L89" s="125">
        <f t="shared" si="16"/>
        <v>-4367.6535684757237</v>
      </c>
      <c r="M89" s="125">
        <f t="shared" si="16"/>
        <v>-4599.5754954214308</v>
      </c>
      <c r="N89" s="125">
        <f t="shared" si="16"/>
        <v>-4683.8524211289514</v>
      </c>
      <c r="O89" s="125">
        <f t="shared" si="16"/>
        <v>-4636.7234206109933</v>
      </c>
      <c r="P89" s="125">
        <f t="shared" si="16"/>
        <v>-4608.0235297224262</v>
      </c>
      <c r="Q89" s="125">
        <f t="shared" si="16"/>
        <v>-4173.9327195514861</v>
      </c>
      <c r="R89" s="125">
        <f t="shared" si="16"/>
        <v>-3492.9893512152084</v>
      </c>
      <c r="S89" s="125">
        <f t="shared" si="16"/>
        <v>-2553.5052433018486</v>
      </c>
      <c r="T89" s="125">
        <f t="shared" si="16"/>
        <v>-1946.1555191219916</v>
      </c>
      <c r="U89" s="125">
        <f t="shared" si="16"/>
        <v>-1109.153671484245</v>
      </c>
      <c r="V89" s="125">
        <f t="shared" si="16"/>
        <v>-482.26969768838012</v>
      </c>
      <c r="W89" s="125">
        <f t="shared" si="16"/>
        <v>338.81915991610617</v>
      </c>
      <c r="X89" s="125">
        <f t="shared" si="16"/>
        <v>860.05544034814511</v>
      </c>
      <c r="Y89" s="125">
        <f t="shared" si="16"/>
        <v>1581.62349183791</v>
      </c>
      <c r="Z89" s="125">
        <f t="shared" si="16"/>
        <v>1996.3535848823794</v>
      </c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8"/>
      <c r="BF89" s="128"/>
      <c r="BG89" s="128"/>
      <c r="BH89" s="128"/>
    </row>
    <row r="90" spans="1:60" s="4" customFormat="1"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</row>
    <row r="91" spans="1:60" s="4" customFormat="1"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</row>
    <row r="92" spans="1:60" s="4" customFormat="1"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</row>
    <row r="93" spans="1:60" s="4" customFormat="1"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</row>
    <row r="94" spans="1:60" s="4" customFormat="1">
      <c r="A94" s="82" t="s">
        <v>181</v>
      </c>
      <c r="E94" s="86">
        <f>NPV(K4,G83:P83,Q83:Z83)</f>
        <v>1996.353584882376</v>
      </c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</row>
    <row r="95" spans="1:60" s="4" customFormat="1">
      <c r="A95" s="82" t="s">
        <v>228</v>
      </c>
      <c r="E95" s="86">
        <f>E94/H6</f>
        <v>86.79798195140765</v>
      </c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</row>
    <row r="96" spans="1:60" s="4" customFormat="1"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</row>
    <row r="97" spans="1:60" s="4" customFormat="1"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</row>
    <row r="98" spans="1:60" s="4" customFormat="1"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</row>
    <row r="99" spans="1:60" s="4" customFormat="1"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</row>
    <row r="100" spans="1:60" s="4" customFormat="1" ht="16" thickBot="1">
      <c r="A100" s="35" t="s">
        <v>240</v>
      </c>
      <c r="G100" s="4">
        <v>35.659999999999997</v>
      </c>
      <c r="H100" s="4">
        <f>G100+$G$100</f>
        <v>71.319999999999993</v>
      </c>
      <c r="I100" s="4">
        <f t="shared" ref="I100:Z100" si="17">H100+$G$100</f>
        <v>106.97999999999999</v>
      </c>
      <c r="J100" s="4">
        <f t="shared" si="17"/>
        <v>142.63999999999999</v>
      </c>
      <c r="K100" s="4">
        <f t="shared" si="17"/>
        <v>178.29999999999998</v>
      </c>
      <c r="L100" s="4">
        <f t="shared" si="17"/>
        <v>213.95999999999998</v>
      </c>
      <c r="M100" s="4">
        <f t="shared" si="17"/>
        <v>249.61999999999998</v>
      </c>
      <c r="N100" s="4">
        <f t="shared" si="17"/>
        <v>285.27999999999997</v>
      </c>
      <c r="O100" s="4">
        <f t="shared" si="17"/>
        <v>320.93999999999994</v>
      </c>
      <c r="P100" s="4">
        <f t="shared" si="17"/>
        <v>356.59999999999991</v>
      </c>
      <c r="Q100" s="4">
        <f t="shared" si="17"/>
        <v>392.25999999999988</v>
      </c>
      <c r="R100" s="4">
        <f t="shared" si="17"/>
        <v>427.91999999999985</v>
      </c>
      <c r="S100" s="4">
        <f t="shared" si="17"/>
        <v>463.57999999999981</v>
      </c>
      <c r="T100" s="4">
        <f t="shared" si="17"/>
        <v>499.23999999999978</v>
      </c>
      <c r="U100" s="4">
        <f t="shared" si="17"/>
        <v>534.89999999999975</v>
      </c>
      <c r="V100" s="4">
        <f t="shared" si="17"/>
        <v>570.55999999999972</v>
      </c>
      <c r="W100" s="4">
        <f t="shared" si="17"/>
        <v>606.21999999999969</v>
      </c>
      <c r="X100" s="4">
        <f t="shared" si="17"/>
        <v>641.87999999999965</v>
      </c>
      <c r="Y100" s="4">
        <f t="shared" si="17"/>
        <v>677.53999999999962</v>
      </c>
      <c r="Z100" s="4">
        <f t="shared" si="17"/>
        <v>713.19999999999959</v>
      </c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</row>
    <row r="101" spans="1:60" s="4" customFormat="1" ht="16" thickBot="1">
      <c r="A101" s="35"/>
      <c r="G101" s="4">
        <f t="shared" ref="G101:Z101" si="18">G100*G165</f>
        <v>33.483568075117368</v>
      </c>
      <c r="H101" s="4">
        <f t="shared" si="18"/>
        <v>62.879940047168773</v>
      </c>
      <c r="I101" s="4">
        <f t="shared" si="18"/>
        <v>88.563295841082791</v>
      </c>
      <c r="J101" s="4">
        <f t="shared" si="18"/>
        <v>110.87736568523668</v>
      </c>
      <c r="K101" s="4">
        <f t="shared" si="18"/>
        <v>130.13775315168624</v>
      </c>
      <c r="L101" s="4">
        <f t="shared" si="18"/>
        <v>146.63408805823804</v>
      </c>
      <c r="M101" s="4">
        <f t="shared" si="18"/>
        <v>160.63202134705264</v>
      </c>
      <c r="N101" s="4">
        <f t="shared" si="18"/>
        <v>172.37507320944619</v>
      </c>
      <c r="O101" s="4">
        <f t="shared" si="18"/>
        <v>182.0863449395558</v>
      </c>
      <c r="P101" s="4">
        <f t="shared" si="18"/>
        <v>189.97010426662055</v>
      </c>
      <c r="Q101" s="4">
        <f t="shared" si="18"/>
        <v>196.21325323312922</v>
      </c>
      <c r="R101" s="4">
        <f t="shared" si="18"/>
        <v>200.98668705058054</v>
      </c>
      <c r="S101" s="4">
        <f t="shared" si="18"/>
        <v>204.44655177289098</v>
      </c>
      <c r="T101" s="4">
        <f t="shared" si="18"/>
        <v>206.73540807659617</v>
      </c>
      <c r="U101" s="4">
        <f t="shared" si="18"/>
        <v>207.98330792414106</v>
      </c>
      <c r="V101" s="4">
        <f t="shared" si="18"/>
        <v>208.30879040915536</v>
      </c>
      <c r="W101" s="4">
        <f t="shared" si="18"/>
        <v>207.81980263824187</v>
      </c>
      <c r="X101" s="4">
        <f t="shared" si="18"/>
        <v>206.6145510902156</v>
      </c>
      <c r="Y101" s="4">
        <f t="shared" si="18"/>
        <v>204.78228850882093</v>
      </c>
      <c r="Z101" s="4">
        <f t="shared" si="18"/>
        <v>202.40404102675654</v>
      </c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</row>
    <row r="102" spans="1:60" s="4" customFormat="1" ht="16" thickBot="1">
      <c r="A102" s="35" t="s">
        <v>239</v>
      </c>
      <c r="E102" s="85"/>
      <c r="G102" s="84">
        <v>175.21</v>
      </c>
      <c r="H102" s="84">
        <f>G102+$G$102</f>
        <v>350.42</v>
      </c>
      <c r="I102" s="84">
        <f>H102+$G$102</f>
        <v>525.63</v>
      </c>
      <c r="J102" s="84">
        <f t="shared" ref="J102:Z102" si="19">I102+$G$102</f>
        <v>700.84</v>
      </c>
      <c r="K102" s="84">
        <f t="shared" si="19"/>
        <v>876.05000000000007</v>
      </c>
      <c r="L102" s="84">
        <f t="shared" si="19"/>
        <v>1051.26</v>
      </c>
      <c r="M102" s="84">
        <f t="shared" si="19"/>
        <v>1226.47</v>
      </c>
      <c r="N102" s="84">
        <f t="shared" si="19"/>
        <v>1401.68</v>
      </c>
      <c r="O102" s="84">
        <f t="shared" si="19"/>
        <v>1576.89</v>
      </c>
      <c r="P102" s="84">
        <f t="shared" si="19"/>
        <v>1752.1000000000001</v>
      </c>
      <c r="Q102" s="84">
        <f t="shared" si="19"/>
        <v>1927.3100000000002</v>
      </c>
      <c r="R102" s="84">
        <f t="shared" si="19"/>
        <v>2102.52</v>
      </c>
      <c r="S102" s="84">
        <f t="shared" si="19"/>
        <v>2277.73</v>
      </c>
      <c r="T102" s="84">
        <f t="shared" si="19"/>
        <v>2452.94</v>
      </c>
      <c r="U102" s="84">
        <f t="shared" si="19"/>
        <v>2628.15</v>
      </c>
      <c r="V102" s="84">
        <f t="shared" si="19"/>
        <v>2803.36</v>
      </c>
      <c r="W102" s="84">
        <f t="shared" si="19"/>
        <v>2978.57</v>
      </c>
      <c r="X102" s="84">
        <f t="shared" si="19"/>
        <v>3153.78</v>
      </c>
      <c r="Y102" s="84">
        <f t="shared" si="19"/>
        <v>3328.9900000000002</v>
      </c>
      <c r="Z102" s="84">
        <f t="shared" si="19"/>
        <v>3504.2000000000003</v>
      </c>
      <c r="AA102" s="102"/>
      <c r="AB102" s="102"/>
      <c r="AC102" s="102"/>
      <c r="AD102" s="102"/>
      <c r="AE102" s="102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</row>
    <row r="103" spans="1:60">
      <c r="A103" s="4"/>
      <c r="B103" s="4"/>
      <c r="C103" s="4"/>
      <c r="D103" s="4"/>
      <c r="E103" s="85"/>
      <c r="F103" s="4"/>
      <c r="G103" s="84">
        <f>G102*G165</f>
        <v>164.51643192488262</v>
      </c>
      <c r="H103" s="84">
        <f t="shared" ref="H103:Y103" si="20">H102*H165</f>
        <v>308.95104586832423</v>
      </c>
      <c r="I103" s="84">
        <f t="shared" si="20"/>
        <v>435.14231812440033</v>
      </c>
      <c r="J103" s="84">
        <f t="shared" si="20"/>
        <v>544.77911502272354</v>
      </c>
      <c r="K103" s="84">
        <f t="shared" si="20"/>
        <v>639.41210683418262</v>
      </c>
      <c r="L103" s="84">
        <f t="shared" si="20"/>
        <v>720.46434572865644</v>
      </c>
      <c r="M103" s="84">
        <f t="shared" si="20"/>
        <v>789.24106730838741</v>
      </c>
      <c r="N103" s="84">
        <f t="shared" si="20"/>
        <v>846.93877108881293</v>
      </c>
      <c r="O103" s="84">
        <f t="shared" si="20"/>
        <v>894.6536314318447</v>
      </c>
      <c r="P103" s="84">
        <f t="shared" si="20"/>
        <v>933.38928683551876</v>
      </c>
      <c r="Q103" s="84">
        <f t="shared" si="20"/>
        <v>964.06405213058292</v>
      </c>
      <c r="R103" s="84">
        <f t="shared" si="20"/>
        <v>987.51759501212086</v>
      </c>
      <c r="S103" s="84">
        <f t="shared" si="20"/>
        <v>1004.5171154270399</v>
      </c>
      <c r="T103" s="84">
        <f t="shared" si="20"/>
        <v>1015.763063631532</v>
      </c>
      <c r="U103" s="84">
        <f t="shared" si="20"/>
        <v>1021.8944302128091</v>
      </c>
      <c r="V103" s="84">
        <f t="shared" si="20"/>
        <v>1023.4936390237838</v>
      </c>
      <c r="W103" s="84">
        <f t="shared" si="20"/>
        <v>1021.0910717960286</v>
      </c>
      <c r="X103" s="84">
        <f t="shared" si="20"/>
        <v>1015.1692511642372</v>
      </c>
      <c r="Y103" s="84">
        <f t="shared" si="20"/>
        <v>1006.1667069442102</v>
      </c>
      <c r="Z103" s="84">
        <f>Z102*Z165</f>
        <v>994.48154874643967</v>
      </c>
      <c r="AA103" s="102"/>
      <c r="AB103" s="102"/>
      <c r="AC103" s="102"/>
      <c r="AD103" s="102"/>
      <c r="AE103" s="102"/>
    </row>
    <row r="104" spans="1:60" ht="16" thickBot="1">
      <c r="A104" s="35" t="s">
        <v>284</v>
      </c>
      <c r="B104" s="4"/>
      <c r="C104" s="4"/>
      <c r="D104" s="4"/>
      <c r="E104" s="85"/>
      <c r="F104" s="4"/>
      <c r="G104" s="84">
        <f>G100+G102</f>
        <v>210.87</v>
      </c>
      <c r="H104" s="84">
        <f t="shared" ref="H104:Z104" si="21">H100+H102</f>
        <v>421.74</v>
      </c>
      <c r="I104" s="84">
        <f t="shared" si="21"/>
        <v>632.61</v>
      </c>
      <c r="J104" s="84">
        <f t="shared" si="21"/>
        <v>843.48</v>
      </c>
      <c r="K104" s="84">
        <f t="shared" si="21"/>
        <v>1054.3500000000001</v>
      </c>
      <c r="L104" s="84">
        <f t="shared" si="21"/>
        <v>1265.22</v>
      </c>
      <c r="M104" s="84">
        <f t="shared" si="21"/>
        <v>1476.09</v>
      </c>
      <c r="N104" s="84">
        <f t="shared" si="21"/>
        <v>1686.96</v>
      </c>
      <c r="O104" s="84">
        <f t="shared" si="21"/>
        <v>1897.83</v>
      </c>
      <c r="P104" s="84">
        <f t="shared" si="21"/>
        <v>2108.6999999999998</v>
      </c>
      <c r="Q104" s="84">
        <f t="shared" si="21"/>
        <v>2319.5700000000002</v>
      </c>
      <c r="R104" s="84">
        <f t="shared" si="21"/>
        <v>2530.4399999999996</v>
      </c>
      <c r="S104" s="84">
        <f t="shared" si="21"/>
        <v>2741.31</v>
      </c>
      <c r="T104" s="84">
        <f t="shared" si="21"/>
        <v>2952.18</v>
      </c>
      <c r="U104" s="84">
        <f t="shared" si="21"/>
        <v>3163.0499999999997</v>
      </c>
      <c r="V104" s="84">
        <f t="shared" si="21"/>
        <v>3373.92</v>
      </c>
      <c r="W104" s="84">
        <f t="shared" si="21"/>
        <v>3584.79</v>
      </c>
      <c r="X104" s="84">
        <f t="shared" si="21"/>
        <v>3795.66</v>
      </c>
      <c r="Y104" s="84">
        <f t="shared" si="21"/>
        <v>4006.5299999999997</v>
      </c>
      <c r="Z104" s="84">
        <f t="shared" si="21"/>
        <v>4217.3999999999996</v>
      </c>
      <c r="AA104" s="102"/>
      <c r="AB104" s="102"/>
      <c r="AC104" s="102"/>
      <c r="AD104" s="102"/>
      <c r="AE104" s="102"/>
    </row>
    <row r="105" spans="1:60">
      <c r="A105" s="4"/>
      <c r="B105" s="4"/>
      <c r="C105" s="4"/>
      <c r="D105" s="4"/>
      <c r="E105" s="85"/>
      <c r="F105" s="4"/>
      <c r="G105" s="84">
        <f>G104*G165</f>
        <v>198</v>
      </c>
      <c r="H105" s="84">
        <f t="shared" ref="H105:Z105" si="22">H104*H165</f>
        <v>371.83098591549299</v>
      </c>
      <c r="I105" s="84">
        <f t="shared" si="22"/>
        <v>523.70561396548317</v>
      </c>
      <c r="J105" s="84">
        <f t="shared" si="22"/>
        <v>655.65648070796021</v>
      </c>
      <c r="K105" s="84">
        <f t="shared" si="22"/>
        <v>769.54985998586892</v>
      </c>
      <c r="L105" s="84">
        <f t="shared" si="22"/>
        <v>867.09843378689447</v>
      </c>
      <c r="M105" s="84">
        <f t="shared" si="22"/>
        <v>949.87308865544003</v>
      </c>
      <c r="N105" s="84">
        <f t="shared" si="22"/>
        <v>1019.3138442982591</v>
      </c>
      <c r="O105" s="84">
        <f t="shared" si="22"/>
        <v>1076.7399763714004</v>
      </c>
      <c r="P105" s="84">
        <f t="shared" si="22"/>
        <v>1123.3593911021392</v>
      </c>
      <c r="Q105" s="84">
        <f t="shared" si="22"/>
        <v>1160.2773053637122</v>
      </c>
      <c r="R105" s="84">
        <f t="shared" si="22"/>
        <v>1188.5042820627013</v>
      </c>
      <c r="S105" s="84">
        <f t="shared" si="22"/>
        <v>1208.963667199931</v>
      </c>
      <c r="T105" s="84">
        <f t="shared" si="22"/>
        <v>1222.4984717081281</v>
      </c>
      <c r="U105" s="84">
        <f t="shared" si="22"/>
        <v>1229.87773813695</v>
      </c>
      <c r="V105" s="84">
        <f t="shared" si="22"/>
        <v>1231.8024294329391</v>
      </c>
      <c r="W105" s="84">
        <f t="shared" si="22"/>
        <v>1228.9108744342705</v>
      </c>
      <c r="X105" s="84">
        <f t="shared" si="22"/>
        <v>1221.7838022544527</v>
      </c>
      <c r="Y105" s="84">
        <f t="shared" si="22"/>
        <v>1210.9489954530311</v>
      </c>
      <c r="Z105" s="84">
        <f t="shared" si="22"/>
        <v>1196.8855897731962</v>
      </c>
      <c r="AA105" s="102"/>
      <c r="AB105" s="102"/>
      <c r="AC105" s="102"/>
      <c r="AD105" s="102"/>
      <c r="AE105" s="102"/>
    </row>
    <row r="106" spans="1:60">
      <c r="A106" s="4"/>
      <c r="B106" s="4"/>
      <c r="C106" s="4"/>
      <c r="D106" s="4"/>
      <c r="E106" s="85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60" ht="16" thickBot="1">
      <c r="A107" s="35" t="s">
        <v>241</v>
      </c>
      <c r="B107" s="4"/>
      <c r="C107" s="4"/>
      <c r="D107" s="4"/>
      <c r="E107" s="85"/>
      <c r="F107" s="4"/>
      <c r="G107" s="4">
        <v>-1570.5169929577467</v>
      </c>
      <c r="H107" s="4">
        <v>-2301.6182585355641</v>
      </c>
      <c r="I107" s="4">
        <v>-2907.6605673023723</v>
      </c>
      <c r="J107" s="4">
        <v>-3433.0442517437223</v>
      </c>
      <c r="K107" s="4">
        <v>-4309.7055315019861</v>
      </c>
      <c r="L107" s="4">
        <v>-4870.9948146097322</v>
      </c>
      <c r="M107" s="4">
        <v>-5237.1609729611282</v>
      </c>
      <c r="N107" s="4">
        <v>-5444.9346845467526</v>
      </c>
      <c r="O107" s="4">
        <v>-5511.4056929203953</v>
      </c>
      <c r="P107" s="4">
        <v>-5549.8281084894106</v>
      </c>
      <c r="Q107" s="4">
        <v>-5214.6428201147701</v>
      </c>
      <c r="R107" s="4">
        <v>-4628.9076854497262</v>
      </c>
      <c r="S107" s="4">
        <v>-3785.8551298993502</v>
      </c>
      <c r="T107" s="4">
        <v>-3252.4659769372302</v>
      </c>
      <c r="U107" s="4">
        <v>-2432.1420119843915</v>
      </c>
      <c r="V107" s="4">
        <v>-1838.835405989832</v>
      </c>
      <c r="W107" s="4">
        <v>-1056.3847275952744</v>
      </c>
      <c r="X107" s="4">
        <v>-562.38509376456182</v>
      </c>
      <c r="Y107" s="4">
        <v>125.1749514931289</v>
      </c>
      <c r="Z107" s="4">
        <v>535.81265923145713</v>
      </c>
    </row>
    <row r="108" spans="1:60" ht="16" thickBot="1">
      <c r="A108" s="35" t="s">
        <v>242</v>
      </c>
      <c r="B108" s="4"/>
      <c r="C108" s="4"/>
      <c r="D108" s="4"/>
      <c r="E108" s="85"/>
      <c r="F108" s="4"/>
      <c r="G108" s="4">
        <v>-1489.9066643192489</v>
      </c>
      <c r="H108" s="4">
        <v>-2167.8747332209218</v>
      </c>
      <c r="I108" s="4">
        <v>-2724.5110081889279</v>
      </c>
      <c r="J108" s="4">
        <v>-3203.9587845738488</v>
      </c>
      <c r="K108" s="4">
        <v>-3881.5928733658147</v>
      </c>
      <c r="L108" s="4">
        <v>-4216.6294114305529</v>
      </c>
      <c r="M108" s="4">
        <v>-4378.4273911411656</v>
      </c>
      <c r="N108" s="4">
        <v>-4401.8889288090404</v>
      </c>
      <c r="O108" s="4">
        <v>-4302.4168907818157</v>
      </c>
      <c r="P108" s="4">
        <v>-4229.0005338132669</v>
      </c>
      <c r="Q108" s="4">
        <v>-3764.5668053585791</v>
      </c>
      <c r="R108" s="4">
        <v>-3063.0911770551807</v>
      </c>
      <c r="S108" s="4">
        <v>-2116.6386687885019</v>
      </c>
      <c r="T108" s="4">
        <v>-1491.1148814748467</v>
      </c>
      <c r="U108" s="4">
        <v>-680.12275310862094</v>
      </c>
      <c r="V108" s="4">
        <v>-70.021762020782717</v>
      </c>
      <c r="W108" s="4">
        <v>728.19829204821497</v>
      </c>
      <c r="X108" s="4">
        <v>1237.0048513948338</v>
      </c>
      <c r="Y108" s="4">
        <v>1938.4681130993849</v>
      </c>
      <c r="Z108" s="4">
        <v>2342.2946921435991</v>
      </c>
    </row>
    <row r="109" spans="1:60" ht="16" thickBot="1">
      <c r="A109" s="35" t="s">
        <v>243</v>
      </c>
      <c r="B109" s="4"/>
      <c r="C109" s="4"/>
      <c r="D109" s="4"/>
      <c r="E109" s="85"/>
      <c r="F109" s="4"/>
      <c r="G109" s="4">
        <v>-1550.6734874804381</v>
      </c>
      <c r="H109" s="4">
        <v>-2293.2186905486124</v>
      </c>
      <c r="I109" s="4">
        <v>-2910.6522028186296</v>
      </c>
      <c r="J109" s="4">
        <v>-3447.3381650015904</v>
      </c>
      <c r="K109" s="4">
        <v>-4107.7192089330674</v>
      </c>
      <c r="L109" s="4">
        <v>-4429.4225831388057</v>
      </c>
      <c r="M109" s="4">
        <v>-4581.3930646377048</v>
      </c>
      <c r="N109" s="4">
        <v>-4598.154514287814</v>
      </c>
      <c r="O109" s="4">
        <v>-4494.7646563693625</v>
      </c>
      <c r="P109" s="4">
        <v>-4419.8980859506182</v>
      </c>
      <c r="Q109" s="4">
        <v>-3957.6957709507546</v>
      </c>
      <c r="R109" s="4">
        <v>-3260.1885478804306</v>
      </c>
      <c r="S109" s="4">
        <v>-2319.2210974211748</v>
      </c>
      <c r="T109" s="4">
        <v>-1700.4991068380939</v>
      </c>
      <c r="U109" s="4">
        <v>-919.83544737836098</v>
      </c>
      <c r="V109" s="4">
        <v>-338.21189188347375</v>
      </c>
      <c r="W109" s="4">
        <v>433.26878604190802</v>
      </c>
      <c r="X109" s="4">
        <v>916.96794994851189</v>
      </c>
      <c r="Y109" s="4">
        <v>1594.8561924605606</v>
      </c>
      <c r="Z109" s="4">
        <v>1976.5466032489039</v>
      </c>
    </row>
    <row r="110" spans="1:60">
      <c r="A110" s="4"/>
      <c r="B110" s="4"/>
      <c r="C110" s="4"/>
      <c r="D110" s="4"/>
      <c r="E110" s="85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60">
      <c r="A111" s="4"/>
      <c r="B111" s="4"/>
      <c r="C111" s="4"/>
      <c r="D111" s="4"/>
      <c r="E111" s="85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60">
      <c r="A112" s="4"/>
      <c r="B112" s="4"/>
      <c r="C112" s="4"/>
      <c r="D112" s="4">
        <v>25</v>
      </c>
      <c r="E112" s="4">
        <v>-2421.5</v>
      </c>
      <c r="F112" s="4">
        <v>-2421.5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>
      <c r="A113" s="4"/>
      <c r="B113" s="4"/>
      <c r="C113" s="4"/>
      <c r="D113" s="4">
        <v>50</v>
      </c>
      <c r="E113" s="4">
        <v>626.91</v>
      </c>
      <c r="F113" s="4">
        <v>626.91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>
      <c r="A114" s="4"/>
      <c r="B114" s="4"/>
      <c r="C114" s="4"/>
      <c r="D114" s="4">
        <v>75</v>
      </c>
      <c r="E114" s="4">
        <v>1643.04</v>
      </c>
      <c r="F114" s="4">
        <v>1643.04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>
      <c r="A115" s="4"/>
      <c r="B115" s="4"/>
      <c r="C115" s="4"/>
      <c r="D115" s="4">
        <v>100</v>
      </c>
      <c r="E115" s="4">
        <v>2433.39</v>
      </c>
      <c r="F115" s="4">
        <v>2433.39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>
      <c r="A116" s="4"/>
      <c r="B116" s="4"/>
      <c r="C116" s="4"/>
      <c r="D116" s="4">
        <v>125</v>
      </c>
      <c r="E116" s="4">
        <v>1861.35</v>
      </c>
      <c r="F116" s="4">
        <v>1861.35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>
      <c r="A117" s="4"/>
      <c r="B117" s="4"/>
      <c r="C117" s="4"/>
      <c r="D117" s="4">
        <v>150</v>
      </c>
      <c r="E117" s="4">
        <v>2067.64</v>
      </c>
      <c r="F117" s="4">
        <v>2067.64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>
      <c r="A118" s="4"/>
      <c r="B118" s="4"/>
      <c r="C118" s="4"/>
      <c r="D118" s="4">
        <v>175</v>
      </c>
      <c r="E118" s="4">
        <v>2214.9899999999998</v>
      </c>
      <c r="F118" s="4">
        <v>2214.9899999999998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>
      <c r="A119" s="4"/>
      <c r="B119" s="4"/>
      <c r="C119" s="4"/>
      <c r="D119" s="4"/>
      <c r="E119" s="85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>
      <c r="A120" s="4"/>
      <c r="B120" s="4"/>
      <c r="C120" s="4"/>
      <c r="D120" s="4"/>
      <c r="E120" s="85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>
      <c r="A121" s="4"/>
      <c r="B121" s="4"/>
      <c r="C121" s="4"/>
      <c r="D121" s="4"/>
      <c r="E121" s="85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>
      <c r="A122" s="4"/>
      <c r="B122" s="4"/>
      <c r="C122" s="4"/>
      <c r="D122" s="4"/>
      <c r="E122" s="85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>
      <c r="A123" s="4"/>
      <c r="B123" s="4"/>
      <c r="C123" s="4"/>
      <c r="D123" s="4"/>
      <c r="E123" s="85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>
      <c r="A124" s="4"/>
      <c r="B124" s="4"/>
      <c r="C124" s="4"/>
      <c r="D124" s="4"/>
      <c r="E124" s="85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>
      <c r="A125" s="4"/>
      <c r="B125" s="4"/>
      <c r="C125" s="4"/>
      <c r="D125" s="4"/>
      <c r="E125" s="85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>
      <c r="A126" s="4"/>
      <c r="B126" s="4"/>
      <c r="C126" s="4"/>
      <c r="D126" s="4"/>
      <c r="E126" s="85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>
      <c r="A127" s="4"/>
      <c r="B127" s="4"/>
      <c r="C127" s="4"/>
      <c r="D127" s="4"/>
      <c r="E127" s="85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>
      <c r="A128" s="4"/>
      <c r="B128" s="4"/>
      <c r="C128" s="4"/>
      <c r="D128" s="4"/>
      <c r="E128" s="8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60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60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60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60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60" s="61" customFormat="1">
      <c r="F165" s="113" t="s">
        <v>182</v>
      </c>
      <c r="G165" s="140">
        <f>(1+$K$4)^-G11</f>
        <v>0.93896713615023475</v>
      </c>
      <c r="H165" s="140">
        <f>(1+$K$4)^-H11</f>
        <v>0.88165928277017358</v>
      </c>
      <c r="I165" s="140">
        <f>(1+$K$4)^-I11</f>
        <v>0.82784909180297994</v>
      </c>
      <c r="J165" s="140">
        <f>(1+$K$4)^-J11</f>
        <v>0.77732309089481699</v>
      </c>
      <c r="K165" s="140">
        <f t="shared" ref="K165:Z165" si="23">(1+$K$4)^-K11</f>
        <v>0.72988083652095492</v>
      </c>
      <c r="L165" s="140">
        <f t="shared" si="23"/>
        <v>0.68533411879901873</v>
      </c>
      <c r="M165" s="140">
        <f t="shared" si="23"/>
        <v>0.64350621483475945</v>
      </c>
      <c r="N165" s="140">
        <f t="shared" si="23"/>
        <v>0.60423118763827188</v>
      </c>
      <c r="O165" s="140">
        <f t="shared" si="23"/>
        <v>0.56735322782936326</v>
      </c>
      <c r="P165" s="140">
        <f t="shared" si="23"/>
        <v>0.53272603552052888</v>
      </c>
      <c r="Q165" s="140">
        <f t="shared" si="23"/>
        <v>0.50021223992537933</v>
      </c>
      <c r="R165" s="140">
        <f t="shared" si="23"/>
        <v>0.4696828543900276</v>
      </c>
      <c r="S165" s="140">
        <f t="shared" si="23"/>
        <v>0.44101676468547191</v>
      </c>
      <c r="T165" s="140">
        <f t="shared" si="23"/>
        <v>0.41410024853095956</v>
      </c>
      <c r="U165" s="140">
        <f t="shared" si="23"/>
        <v>0.38882652444221566</v>
      </c>
      <c r="V165" s="140">
        <f t="shared" si="23"/>
        <v>0.36509532811475648</v>
      </c>
      <c r="W165" s="140">
        <f t="shared" si="23"/>
        <v>0.34281251466174323</v>
      </c>
      <c r="X165" s="140">
        <f t="shared" si="23"/>
        <v>0.32188968512839738</v>
      </c>
      <c r="Y165" s="140">
        <f t="shared" si="23"/>
        <v>0.30224383580131214</v>
      </c>
      <c r="Z165" s="140">
        <f t="shared" si="23"/>
        <v>0.28379702892141989</v>
      </c>
      <c r="AA165" s="103"/>
      <c r="AB165" s="103"/>
      <c r="AC165" s="103"/>
      <c r="AD165" s="103"/>
      <c r="AE165" s="10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</row>
    <row r="166" spans="1:60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60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60">
      <c r="A168" s="4"/>
      <c r="B168" s="4"/>
      <c r="C168" s="4"/>
      <c r="D168" s="4"/>
      <c r="E168" s="4"/>
      <c r="F168" s="4"/>
      <c r="G168" s="140"/>
      <c r="H168" s="140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60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6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60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60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60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60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60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60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289" spans="1:1">
      <c r="A289" t="s">
        <v>169</v>
      </c>
    </row>
    <row r="290" spans="1:1">
      <c r="A290" t="s">
        <v>170</v>
      </c>
    </row>
    <row r="291" spans="1:1">
      <c r="A291" t="s">
        <v>193</v>
      </c>
    </row>
    <row r="292" spans="1:1">
      <c r="A292" t="s">
        <v>194</v>
      </c>
    </row>
    <row r="293" spans="1:1">
      <c r="A293" t="s">
        <v>226</v>
      </c>
    </row>
    <row r="294" spans="1:1">
      <c r="A294" t="s">
        <v>227</v>
      </c>
    </row>
  </sheetData>
  <sheetProtection password="8892" sheet="1" objects="1" scenarios="1" selectLockedCells="1"/>
  <conditionalFormatting sqref="N5:N7">
    <cfRule type="expression" dxfId="0" priority="2">
      <formula>$N$4="Well"</formula>
    </cfRule>
  </conditionalFormatting>
  <dataValidations count="3">
    <dataValidation type="list" allowBlank="1" showInputMessage="1" showErrorMessage="1" sqref="D6">
      <formula1>$A$291:$A$292</formula1>
    </dataValidation>
    <dataValidation type="list" allowBlank="1" showInputMessage="1" showErrorMessage="1" sqref="N4">
      <formula1>$A$293:$A$294</formula1>
    </dataValidation>
    <dataValidation type="list" allowBlank="1" showInputMessage="1" showErrorMessage="1" sqref="N6:N7">
      <formula1>$A$289:$A$290</formula1>
    </dataValidation>
  </dataValidations>
  <pageMargins left="0.7" right="0.7" top="0.75" bottom="0.75" header="0.3" footer="0.3"/>
  <pageSetup scale="11" orientation="landscape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L200"/>
  <sheetViews>
    <sheetView topLeftCell="A48" workbookViewId="0">
      <selection activeCell="C95" sqref="C95:C100"/>
    </sheetView>
  </sheetViews>
  <sheetFormatPr baseColWidth="10" defaultColWidth="8.83203125" defaultRowHeight="14" x14ac:dyDescent="0"/>
  <cols>
    <col min="1" max="1" width="48.1640625" customWidth="1"/>
    <col min="2" max="2" width="9" style="69" customWidth="1"/>
    <col min="4" max="4" width="10.1640625" customWidth="1"/>
    <col min="5" max="5" width="10.33203125" customWidth="1"/>
    <col min="6" max="6" width="12" bestFit="1" customWidth="1"/>
    <col min="7" max="7" width="8.1640625" customWidth="1"/>
    <col min="8" max="8" width="14.5" customWidth="1"/>
    <col min="9" max="9" width="10.5" customWidth="1"/>
    <col min="11" max="11" width="11.33203125" customWidth="1"/>
    <col min="12" max="12" width="9.83203125" customWidth="1"/>
    <col min="13" max="14" width="10.5" customWidth="1"/>
    <col min="15" max="15" width="9" customWidth="1"/>
    <col min="16" max="16" width="10.5" customWidth="1"/>
    <col min="17" max="17" width="12" customWidth="1"/>
    <col min="20" max="20" width="9.5" bestFit="1" customWidth="1"/>
    <col min="31" max="31" width="11.6640625" customWidth="1"/>
  </cols>
  <sheetData>
    <row r="1" spans="1:116" ht="21.75" customHeight="1">
      <c r="A1" s="4"/>
      <c r="B1" s="1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U1" s="4"/>
      <c r="CV1" s="4"/>
      <c r="CW1" s="4"/>
      <c r="CX1" s="4"/>
      <c r="CY1" s="4"/>
      <c r="CZ1" s="16" t="s">
        <v>75</v>
      </c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</row>
    <row r="2" spans="1:116">
      <c r="A2" s="4"/>
      <c r="B2" s="1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U2" s="4" t="s">
        <v>90</v>
      </c>
      <c r="CW2" s="4"/>
      <c r="CY2" s="4" t="s">
        <v>76</v>
      </c>
      <c r="CZ2" s="4" t="s">
        <v>77</v>
      </c>
      <c r="DA2" s="4" t="s">
        <v>76</v>
      </c>
      <c r="DB2" s="4"/>
      <c r="DC2" s="4" t="s">
        <v>3</v>
      </c>
      <c r="DD2" s="4" t="s">
        <v>79</v>
      </c>
      <c r="DE2" s="4" t="s">
        <v>100</v>
      </c>
      <c r="DF2" s="4"/>
      <c r="DG2" s="4"/>
      <c r="DH2" s="4"/>
      <c r="DI2" s="4"/>
      <c r="DJ2" s="4"/>
      <c r="DK2" s="4"/>
      <c r="DL2" s="4"/>
    </row>
    <row r="3" spans="1:116" ht="14.25" customHeight="1">
      <c r="A3" s="4"/>
      <c r="B3" s="1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U3" s="4" t="s">
        <v>91</v>
      </c>
      <c r="CV3" s="4"/>
      <c r="CW3" s="29">
        <f>IF('Chemical Mixing Rates'!K8=$DL$3,1,0)</f>
        <v>1</v>
      </c>
      <c r="CX3" s="29">
        <v>1</v>
      </c>
      <c r="CY3" s="29" t="s">
        <v>78</v>
      </c>
      <c r="CZ3" s="41">
        <v>100</v>
      </c>
      <c r="DA3" s="41" t="s">
        <v>117</v>
      </c>
      <c r="DB3" s="29">
        <v>90</v>
      </c>
      <c r="DC3" s="29" t="s">
        <v>46</v>
      </c>
      <c r="DD3" s="60">
        <f>(16/12800)*DB3</f>
        <v>0.1125</v>
      </c>
      <c r="DE3" s="66">
        <f>DD3*CW3</f>
        <v>0.1125</v>
      </c>
      <c r="DF3" s="4"/>
      <c r="DG3" s="4"/>
      <c r="DH3" s="4" t="s">
        <v>82</v>
      </c>
      <c r="DI3" s="4" t="s">
        <v>83</v>
      </c>
      <c r="DJ3" s="4"/>
      <c r="DK3" s="4"/>
      <c r="DL3" s="4" t="s">
        <v>169</v>
      </c>
    </row>
    <row r="4" spans="1:116" ht="14.25" customHeight="1">
      <c r="A4" s="4"/>
      <c r="B4" s="1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U4" s="4" t="s">
        <v>26</v>
      </c>
      <c r="CV4" s="4"/>
      <c r="CW4" s="29">
        <f>IF('Chemical Mixing Rates'!K9=$DL$3,1,0)</f>
        <v>0</v>
      </c>
      <c r="CX4" s="29"/>
      <c r="CY4" s="29"/>
      <c r="CZ4" s="41"/>
      <c r="DA4" s="41"/>
      <c r="DB4" s="29"/>
      <c r="DC4" s="29"/>
      <c r="DD4" s="60"/>
      <c r="DE4" s="66">
        <f t="shared" ref="DE4:DE16" si="0">DD4*CW4</f>
        <v>0</v>
      </c>
      <c r="DF4" s="4"/>
      <c r="DG4" s="4"/>
      <c r="DH4" s="4" t="s">
        <v>80</v>
      </c>
      <c r="DI4" s="4"/>
      <c r="DJ4" s="4"/>
      <c r="DK4" s="4"/>
      <c r="DL4" s="4" t="s">
        <v>170</v>
      </c>
    </row>
    <row r="5" spans="1:116" ht="14.25" customHeight="1">
      <c r="A5" s="4"/>
      <c r="B5" s="16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U5" s="4" t="s">
        <v>91</v>
      </c>
      <c r="CV5" s="4"/>
      <c r="CW5" s="29">
        <f>IF('Chemical Mixing Rates'!K10=$DL$3,1,0)</f>
        <v>0</v>
      </c>
      <c r="CX5" s="29"/>
      <c r="CY5" s="29"/>
      <c r="CZ5" s="41"/>
      <c r="DA5" s="41"/>
      <c r="DB5" s="29"/>
      <c r="DC5" s="29"/>
      <c r="DD5" s="60"/>
      <c r="DE5" s="66">
        <f t="shared" si="0"/>
        <v>0</v>
      </c>
      <c r="DF5" s="4"/>
      <c r="DG5" s="4"/>
      <c r="DH5" s="4" t="s">
        <v>81</v>
      </c>
      <c r="DI5" s="4"/>
      <c r="DJ5" s="4"/>
      <c r="DK5" s="4"/>
      <c r="DL5" s="4"/>
    </row>
    <row r="6" spans="1:116" ht="15.75" customHeight="1">
      <c r="A6" s="4"/>
      <c r="B6" s="16"/>
      <c r="C6" s="50"/>
      <c r="D6" s="51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U6" s="4" t="s">
        <v>91</v>
      </c>
      <c r="CV6" s="4"/>
      <c r="CW6" s="29">
        <f>IF('Chemical Mixing Rates'!K11=$DL$3,1,0)</f>
        <v>0</v>
      </c>
      <c r="CX6" s="29">
        <v>1</v>
      </c>
      <c r="CY6" s="29" t="s">
        <v>78</v>
      </c>
      <c r="CZ6" s="41">
        <v>100</v>
      </c>
      <c r="DA6" s="41" t="s">
        <v>117</v>
      </c>
      <c r="DB6" s="29">
        <v>90</v>
      </c>
      <c r="DC6" s="29" t="s">
        <v>46</v>
      </c>
      <c r="DD6" s="60">
        <f t="shared" ref="DD6:DD16" si="1">(16/12800)*DB6</f>
        <v>0.1125</v>
      </c>
      <c r="DE6" s="66">
        <f t="shared" si="0"/>
        <v>0</v>
      </c>
      <c r="DF6" s="4"/>
      <c r="DG6" s="4"/>
      <c r="DH6" s="4" t="s">
        <v>84</v>
      </c>
      <c r="DI6" s="4"/>
      <c r="DJ6" s="4"/>
      <c r="DK6" s="4"/>
      <c r="DL6" s="4"/>
    </row>
    <row r="7" spans="1:116" ht="15.75" customHeight="1">
      <c r="A7" s="4"/>
      <c r="B7" s="16"/>
      <c r="C7" s="50"/>
      <c r="D7" s="51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U7" s="4" t="s">
        <v>91</v>
      </c>
      <c r="CV7" s="4"/>
      <c r="CW7" s="29">
        <f>IF('Chemical Mixing Rates'!K12=$DL$3,1,0)</f>
        <v>0</v>
      </c>
      <c r="CX7" s="29">
        <v>1</v>
      </c>
      <c r="CY7" s="29" t="s">
        <v>78</v>
      </c>
      <c r="CZ7" s="41">
        <v>100</v>
      </c>
      <c r="DA7" s="41" t="s">
        <v>117</v>
      </c>
      <c r="DB7" s="29">
        <v>90</v>
      </c>
      <c r="DC7" s="29" t="s">
        <v>46</v>
      </c>
      <c r="DD7" s="60">
        <f t="shared" si="1"/>
        <v>0.1125</v>
      </c>
      <c r="DE7" s="66">
        <f t="shared" si="0"/>
        <v>0</v>
      </c>
      <c r="DF7" s="4"/>
      <c r="DG7" s="4"/>
      <c r="DH7" s="4"/>
      <c r="DI7" s="4"/>
      <c r="DJ7" s="4"/>
      <c r="DK7" s="4"/>
      <c r="DL7" s="4"/>
    </row>
    <row r="8" spans="1:116" ht="16.5" customHeight="1">
      <c r="A8" s="4"/>
      <c r="B8" s="16"/>
      <c r="C8" s="50"/>
      <c r="D8" s="5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U8" s="4" t="str">
        <f>""</f>
        <v/>
      </c>
      <c r="CV8" s="4"/>
      <c r="CW8" s="29">
        <f>IF('Chemical Mixing Rates'!K13=$DL$3,1,0)</f>
        <v>0</v>
      </c>
      <c r="CX8" s="29">
        <v>1</v>
      </c>
      <c r="CY8" s="29" t="s">
        <v>78</v>
      </c>
      <c r="CZ8" s="41">
        <v>100</v>
      </c>
      <c r="DA8" s="41" t="s">
        <v>117</v>
      </c>
      <c r="DB8" s="29">
        <v>90</v>
      </c>
      <c r="DC8" s="29" t="s">
        <v>46</v>
      </c>
      <c r="DD8" s="60">
        <f t="shared" si="1"/>
        <v>0.1125</v>
      </c>
      <c r="DE8" s="66">
        <f t="shared" si="0"/>
        <v>0</v>
      </c>
      <c r="DG8" s="4"/>
      <c r="DH8" s="4"/>
      <c r="DI8" s="4"/>
      <c r="DJ8" s="4"/>
      <c r="DK8" s="4"/>
      <c r="DL8" s="4"/>
    </row>
    <row r="9" spans="1:116" ht="23.25" customHeight="1">
      <c r="A9" s="4"/>
      <c r="C9" s="50"/>
      <c r="D9" s="51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U9" s="4" t="str">
        <f>""</f>
        <v/>
      </c>
      <c r="CV9" s="4"/>
      <c r="CW9" s="29">
        <f>IF('Chemical Mixing Rates'!K14=$DL$3,1,0)</f>
        <v>0</v>
      </c>
      <c r="CX9" s="29">
        <v>1</v>
      </c>
      <c r="CY9" s="29" t="s">
        <v>78</v>
      </c>
      <c r="CZ9" s="41">
        <v>100</v>
      </c>
      <c r="DA9" s="41" t="s">
        <v>117</v>
      </c>
      <c r="DB9" s="29">
        <v>90</v>
      </c>
      <c r="DC9" s="29" t="s">
        <v>46</v>
      </c>
      <c r="DD9" s="60">
        <f t="shared" si="1"/>
        <v>0.1125</v>
      </c>
      <c r="DE9" s="66">
        <f t="shared" si="0"/>
        <v>0</v>
      </c>
      <c r="DF9" s="4"/>
      <c r="DG9" s="4"/>
      <c r="DH9" s="4"/>
      <c r="DI9" s="4"/>
      <c r="DJ9" s="4"/>
      <c r="DK9" s="4"/>
      <c r="DL9" s="4"/>
    </row>
    <row r="10" spans="1:116" ht="19.5" customHeight="1">
      <c r="A10" s="4"/>
      <c r="B10" s="16"/>
      <c r="C10" s="50"/>
      <c r="D10" s="51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U10" s="4" t="s">
        <v>26</v>
      </c>
      <c r="CV10" s="4"/>
      <c r="CW10" s="29">
        <f>IF('Chemical Mixing Rates'!K15=$DL$3,1,0)</f>
        <v>0</v>
      </c>
      <c r="CX10" s="29">
        <v>1</v>
      </c>
      <c r="CY10" s="29" t="s">
        <v>78</v>
      </c>
      <c r="CZ10" s="41">
        <v>100</v>
      </c>
      <c r="DA10" s="41" t="s">
        <v>117</v>
      </c>
      <c r="DB10" s="29">
        <v>90</v>
      </c>
      <c r="DC10" s="29" t="s">
        <v>46</v>
      </c>
      <c r="DD10" s="60">
        <f t="shared" si="1"/>
        <v>0.1125</v>
      </c>
      <c r="DE10" s="66">
        <f t="shared" si="0"/>
        <v>0</v>
      </c>
      <c r="DF10" s="4"/>
      <c r="DG10" s="4"/>
      <c r="DH10" s="4"/>
      <c r="DI10" s="4"/>
      <c r="DJ10" s="4"/>
      <c r="DK10" s="4"/>
      <c r="DL10" s="4"/>
    </row>
    <row r="11" spans="1:116" ht="19.5" customHeight="1">
      <c r="A11" s="4"/>
      <c r="B11" s="16"/>
      <c r="C11" s="50"/>
      <c r="D11" s="51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U11" s="4" t="s">
        <v>110</v>
      </c>
      <c r="CV11" s="4"/>
      <c r="CW11" s="29">
        <f>IF('Chemical Mixing Rates'!K16=$DL$3,1,0)</f>
        <v>0</v>
      </c>
      <c r="CX11" s="29">
        <v>1</v>
      </c>
      <c r="CY11" s="29" t="s">
        <v>78</v>
      </c>
      <c r="CZ11" s="41">
        <v>100</v>
      </c>
      <c r="DA11" s="41" t="s">
        <v>117</v>
      </c>
      <c r="DB11" s="29">
        <v>90</v>
      </c>
      <c r="DC11" s="29" t="s">
        <v>46</v>
      </c>
      <c r="DD11" s="60">
        <f t="shared" si="1"/>
        <v>0.1125</v>
      </c>
      <c r="DE11" s="66">
        <f t="shared" si="0"/>
        <v>0</v>
      </c>
      <c r="DF11" s="4"/>
      <c r="DG11" s="4"/>
      <c r="DH11" s="4"/>
      <c r="DI11" s="4"/>
      <c r="DJ11" s="4"/>
      <c r="DK11" s="4"/>
      <c r="DL11" s="4"/>
    </row>
    <row r="12" spans="1:116" ht="19.5" customHeight="1">
      <c r="A12" s="4"/>
      <c r="B12" s="55"/>
      <c r="C12" s="50"/>
      <c r="D12" s="51"/>
      <c r="E12" s="4"/>
      <c r="F12" s="4"/>
      <c r="G12" s="4"/>
      <c r="H12" s="4"/>
      <c r="I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U12" s="4" t="s">
        <v>26</v>
      </c>
      <c r="CV12" s="4"/>
      <c r="CW12" s="29">
        <f>IF('Chemical Mixing Rates'!K17=$DL$3,1,0)</f>
        <v>1</v>
      </c>
      <c r="CX12" s="29">
        <v>1</v>
      </c>
      <c r="CY12" s="29" t="s">
        <v>78</v>
      </c>
      <c r="CZ12" s="41">
        <v>100</v>
      </c>
      <c r="DA12" s="41" t="s">
        <v>117</v>
      </c>
      <c r="DB12" s="29">
        <v>90</v>
      </c>
      <c r="DC12" s="29" t="s">
        <v>46</v>
      </c>
      <c r="DD12" s="60">
        <f t="shared" si="1"/>
        <v>0.1125</v>
      </c>
      <c r="DE12" s="66">
        <f t="shared" si="0"/>
        <v>0.1125</v>
      </c>
      <c r="DF12" s="4"/>
      <c r="DG12" s="4"/>
      <c r="DH12" s="4"/>
      <c r="DI12" s="4"/>
      <c r="DJ12" s="4"/>
      <c r="DK12" s="4"/>
      <c r="DL12" s="4"/>
    </row>
    <row r="13" spans="1:116" ht="19.5" customHeight="1">
      <c r="A13" s="4"/>
      <c r="B13" s="55"/>
      <c r="C13" s="50"/>
      <c r="D13" s="51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U13" s="4" t="s">
        <v>26</v>
      </c>
      <c r="CV13" s="4"/>
      <c r="CW13" s="29">
        <f>IF('Chemical Mixing Rates'!K18=$DL$3,1,0)</f>
        <v>1</v>
      </c>
      <c r="CX13" s="29">
        <v>1</v>
      </c>
      <c r="CY13" s="29" t="s">
        <v>78</v>
      </c>
      <c r="CZ13" s="41">
        <v>100</v>
      </c>
      <c r="DA13" s="41" t="s">
        <v>117</v>
      </c>
      <c r="DB13" s="29">
        <v>90</v>
      </c>
      <c r="DC13" s="29" t="s">
        <v>46</v>
      </c>
      <c r="DD13" s="60">
        <f t="shared" si="1"/>
        <v>0.1125</v>
      </c>
      <c r="DE13" s="66">
        <f t="shared" si="0"/>
        <v>0.1125</v>
      </c>
      <c r="DF13" s="4"/>
      <c r="DG13" s="4"/>
      <c r="DH13" s="4"/>
      <c r="DI13" s="4"/>
      <c r="DJ13" s="4"/>
      <c r="DK13" s="4"/>
      <c r="DL13" s="4"/>
    </row>
    <row r="14" spans="1:116" ht="19.5" customHeight="1">
      <c r="A14" s="4"/>
      <c r="B14" s="55"/>
      <c r="C14" s="50"/>
      <c r="D14" s="51"/>
      <c r="E14" s="4"/>
      <c r="F14" s="206" t="s">
        <v>40</v>
      </c>
      <c r="G14" s="206"/>
      <c r="H14" s="206"/>
      <c r="I14" s="206"/>
      <c r="J14" s="206"/>
      <c r="K14" s="206"/>
      <c r="L14" s="20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U14" s="4" t="s">
        <v>26</v>
      </c>
      <c r="CV14" s="4"/>
      <c r="CW14" s="29">
        <f>IF('Chemical Mixing Rates'!K19=$DL$3,1,0)</f>
        <v>0</v>
      </c>
      <c r="CX14" s="29">
        <v>1</v>
      </c>
      <c r="CY14" s="29" t="s">
        <v>78</v>
      </c>
      <c r="CZ14" s="41">
        <v>100</v>
      </c>
      <c r="DA14" s="41" t="s">
        <v>117</v>
      </c>
      <c r="DB14" s="29">
        <v>90</v>
      </c>
      <c r="DC14" s="29" t="s">
        <v>46</v>
      </c>
      <c r="DD14" s="60">
        <f t="shared" si="1"/>
        <v>0.1125</v>
      </c>
      <c r="DE14" s="66">
        <f t="shared" si="0"/>
        <v>0</v>
      </c>
      <c r="DF14" s="4"/>
      <c r="DG14" s="4"/>
      <c r="DH14" s="4"/>
      <c r="DI14" s="4"/>
      <c r="DJ14" s="4"/>
      <c r="DK14" s="4"/>
      <c r="DL14" s="4"/>
    </row>
    <row r="15" spans="1:116" ht="19.5" customHeight="1">
      <c r="A15" s="4"/>
      <c r="B15" s="55"/>
      <c r="C15" s="50"/>
      <c r="D15" s="51"/>
      <c r="E15" s="4"/>
      <c r="F15" s="206"/>
      <c r="G15" s="206"/>
      <c r="H15" s="206"/>
      <c r="I15" s="206"/>
      <c r="J15" s="206"/>
      <c r="K15" s="206"/>
      <c r="L15" s="20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U15" s="4" t="s">
        <v>26</v>
      </c>
      <c r="CV15" s="4"/>
      <c r="CW15" s="29">
        <f>IF('Chemical Mixing Rates'!K20=$DL$3,1,0)</f>
        <v>0</v>
      </c>
      <c r="CX15" s="29">
        <v>1</v>
      </c>
      <c r="CY15" s="29" t="s">
        <v>78</v>
      </c>
      <c r="CZ15" s="41">
        <v>100</v>
      </c>
      <c r="DA15" s="41" t="s">
        <v>117</v>
      </c>
      <c r="DB15" s="29">
        <v>90</v>
      </c>
      <c r="DC15" s="29" t="s">
        <v>46</v>
      </c>
      <c r="DD15" s="60">
        <f t="shared" si="1"/>
        <v>0.1125</v>
      </c>
      <c r="DE15" s="66">
        <f t="shared" si="0"/>
        <v>0</v>
      </c>
      <c r="DF15" s="4"/>
      <c r="DG15" s="4"/>
      <c r="DH15" s="4"/>
      <c r="DI15" s="4"/>
      <c r="DJ15" s="4"/>
      <c r="DK15" s="4"/>
      <c r="DL15" s="4"/>
    </row>
    <row r="16" spans="1:116" ht="15.75" customHeight="1">
      <c r="A16" s="4"/>
      <c r="B16" s="16"/>
      <c r="C16" s="50"/>
      <c r="D16" s="51"/>
      <c r="E16" s="50"/>
      <c r="F16" s="206"/>
      <c r="G16" s="206"/>
      <c r="H16" s="206"/>
      <c r="I16" s="206"/>
      <c r="J16" s="206"/>
      <c r="K16" s="206"/>
      <c r="L16" s="20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U16" s="4" t="s">
        <v>26</v>
      </c>
      <c r="CV16" s="4"/>
      <c r="CW16" s="29">
        <f>IF('Chemical Mixing Rates'!K21=$DL$3,1,0)</f>
        <v>0</v>
      </c>
      <c r="CX16" s="29">
        <v>1</v>
      </c>
      <c r="CY16" s="29" t="s">
        <v>78</v>
      </c>
      <c r="CZ16" s="41">
        <v>100</v>
      </c>
      <c r="DA16" s="41" t="s">
        <v>117</v>
      </c>
      <c r="DB16" s="29">
        <v>90</v>
      </c>
      <c r="DC16" s="29" t="s">
        <v>46</v>
      </c>
      <c r="DD16" s="60">
        <f t="shared" si="1"/>
        <v>0.1125</v>
      </c>
      <c r="DE16" s="66">
        <f t="shared" si="0"/>
        <v>0</v>
      </c>
      <c r="DF16" s="4"/>
      <c r="DG16" s="4"/>
      <c r="DH16" s="4"/>
      <c r="DI16" s="4"/>
      <c r="DJ16" s="4"/>
      <c r="DK16" s="4"/>
      <c r="DL16" s="4"/>
    </row>
    <row r="17" spans="1:101" ht="21.75" customHeight="1" thickBot="1">
      <c r="A17" s="28" t="s">
        <v>67</v>
      </c>
      <c r="B17" s="70"/>
      <c r="C17" s="50"/>
      <c r="D17" s="51"/>
      <c r="E17" s="50"/>
      <c r="F17" s="206"/>
      <c r="G17" s="206"/>
      <c r="H17" s="206"/>
      <c r="I17" s="206"/>
      <c r="J17" s="206"/>
      <c r="K17" s="206"/>
      <c r="L17" s="20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</row>
    <row r="18" spans="1:101" s="1" customFormat="1" ht="15.75" customHeight="1" thickBot="1">
      <c r="A18" s="53" t="s">
        <v>47</v>
      </c>
      <c r="B18" s="54" t="s">
        <v>3</v>
      </c>
      <c r="C18" s="8" t="s">
        <v>10</v>
      </c>
      <c r="D18" s="9"/>
      <c r="E18" s="9"/>
      <c r="F18" s="206"/>
      <c r="G18" s="206"/>
      <c r="H18" s="206"/>
      <c r="I18" s="206"/>
      <c r="J18" s="206"/>
      <c r="K18" s="206"/>
      <c r="L18" s="206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2"/>
      <c r="CQ18" s="2"/>
      <c r="CR18" s="2"/>
      <c r="CS18" s="2"/>
      <c r="CT18" s="2"/>
      <c r="CU18" s="2"/>
      <c r="CV18" s="2"/>
      <c r="CW18" s="2"/>
    </row>
    <row r="19" spans="1:101">
      <c r="A19" s="57" t="str">
        <f>'Chemical Mixing Rates'!F8</f>
        <v>Intrepid</v>
      </c>
      <c r="B19" s="30" t="s">
        <v>94</v>
      </c>
      <c r="C19" s="191">
        <v>276.5</v>
      </c>
      <c r="D19" s="9"/>
      <c r="E19" s="9"/>
      <c r="F19" s="206"/>
      <c r="G19" s="206"/>
      <c r="H19" s="206"/>
      <c r="I19" s="206"/>
      <c r="J19" s="206"/>
      <c r="K19" s="206"/>
      <c r="L19" s="20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</row>
    <row r="20" spans="1:101" ht="18">
      <c r="A20" s="57" t="str">
        <f>'Chemical Mixing Rates'!F9</f>
        <v>Sevin</v>
      </c>
      <c r="B20" s="30" t="s">
        <v>26</v>
      </c>
      <c r="C20" s="191">
        <v>10.7</v>
      </c>
      <c r="D20" s="9"/>
      <c r="E20" s="9"/>
      <c r="F20" s="9"/>
      <c r="G20" s="9"/>
      <c r="H20" s="9"/>
      <c r="I20" s="104" t="s">
        <v>113</v>
      </c>
      <c r="J20" s="74">
        <f>'Budget Display'!D4+1</f>
        <v>1.02</v>
      </c>
      <c r="K20" s="9"/>
      <c r="L20" s="9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</row>
    <row r="21" spans="1:101">
      <c r="A21" s="57" t="str">
        <f>'Chemical Mixing Rates'!F10</f>
        <v>Warrior 2</v>
      </c>
      <c r="B21" s="30" t="s">
        <v>94</v>
      </c>
      <c r="C21" s="191">
        <v>259</v>
      </c>
      <c r="D21" s="9"/>
      <c r="E21" s="9"/>
      <c r="F21" s="9"/>
      <c r="G21" s="9"/>
      <c r="H21" s="9"/>
      <c r="I21" s="9"/>
      <c r="J21" s="9"/>
      <c r="K21" s="9"/>
      <c r="L21" s="9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</row>
    <row r="22" spans="1:101">
      <c r="A22" s="6" t="str">
        <f>'Chemical Mixing Rates'!F12</f>
        <v>Roundup</v>
      </c>
      <c r="B22" s="30" t="s">
        <v>94</v>
      </c>
      <c r="C22" s="192">
        <v>16.100000000000001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</row>
    <row r="23" spans="1:101">
      <c r="A23" s="6" t="str">
        <f>'Chemical Mixing Rates'!F13</f>
        <v/>
      </c>
      <c r="B23" s="11"/>
      <c r="C23" s="138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</row>
    <row r="24" spans="1:101">
      <c r="A24" s="6" t="str">
        <f>'Chemical Mixing Rates'!F14</f>
        <v/>
      </c>
      <c r="B24" s="11"/>
      <c r="C24" s="138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</row>
    <row r="25" spans="1:101">
      <c r="A25" s="6" t="str">
        <f>'Chemical Mixing Rates'!F15</f>
        <v>Urea (46-0-0)</v>
      </c>
      <c r="B25" s="11" t="s">
        <v>26</v>
      </c>
      <c r="C25" s="192">
        <v>0.5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</row>
    <row r="26" spans="1:101">
      <c r="A26" s="6" t="str">
        <f>'Chemical Mixing Rates'!F16</f>
        <v>Nickel</v>
      </c>
      <c r="B26" s="11" t="s">
        <v>94</v>
      </c>
      <c r="C26" s="192">
        <v>46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</row>
    <row r="27" spans="1:101">
      <c r="A27" s="6" t="str">
        <f>'Chemical Mixing Rates'!F17</f>
        <v>Zinc Yrs 1-4</v>
      </c>
      <c r="B27" s="11" t="s">
        <v>26</v>
      </c>
      <c r="C27" s="192">
        <v>0.99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</row>
    <row r="28" spans="1:101">
      <c r="A28" s="6" t="str">
        <f>'Chemical Mixing Rates'!F19</f>
        <v>DAP (18-46-0)</v>
      </c>
      <c r="B28" s="11" t="s">
        <v>26</v>
      </c>
      <c r="C28" s="192">
        <v>0.26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</row>
    <row r="29" spans="1:101">
      <c r="A29" s="6" t="str">
        <f>'Chemical Mixing Rates'!F20</f>
        <v>Potash (0-0-60)</v>
      </c>
      <c r="B29" s="11" t="s">
        <v>26</v>
      </c>
      <c r="C29" s="192">
        <v>0.23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</row>
    <row r="30" spans="1:101">
      <c r="A30" s="6" t="str">
        <f>'Chemical Mixing Rates'!F21</f>
        <v>Manganese</v>
      </c>
      <c r="B30" s="11" t="s">
        <v>26</v>
      </c>
      <c r="C30" s="192">
        <v>0.85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</row>
    <row r="31" spans="1:101" s="2" customFormat="1" ht="26.25" customHeight="1" thickBot="1">
      <c r="A31" s="28" t="s">
        <v>38</v>
      </c>
      <c r="B31" s="31"/>
      <c r="C31" s="9"/>
      <c r="D31" s="9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</row>
    <row r="32" spans="1:101" s="1" customFormat="1" ht="13.5" customHeight="1" thickBot="1">
      <c r="A32" s="52" t="s">
        <v>20</v>
      </c>
      <c r="B32" s="8" t="s">
        <v>3</v>
      </c>
      <c r="C32" s="8" t="s">
        <v>10</v>
      </c>
      <c r="D32" s="8" t="s">
        <v>11</v>
      </c>
      <c r="E32" s="8" t="s">
        <v>12</v>
      </c>
      <c r="F32" s="8" t="s">
        <v>13</v>
      </c>
      <c r="G32" s="8" t="s">
        <v>16</v>
      </c>
      <c r="H32" s="8" t="s">
        <v>14</v>
      </c>
      <c r="I32" s="8" t="s">
        <v>15</v>
      </c>
      <c r="J32" s="8" t="s">
        <v>54</v>
      </c>
      <c r="K32" s="8" t="s">
        <v>55</v>
      </c>
      <c r="L32" s="8" t="s">
        <v>56</v>
      </c>
      <c r="M32" s="8" t="s">
        <v>57</v>
      </c>
      <c r="N32" s="8" t="s">
        <v>58</v>
      </c>
      <c r="O32" s="8" t="s">
        <v>59</v>
      </c>
      <c r="P32" s="8" t="s">
        <v>60</v>
      </c>
      <c r="Q32" s="8" t="s">
        <v>61</v>
      </c>
      <c r="R32" s="8" t="s">
        <v>62</v>
      </c>
      <c r="S32" s="8" t="s">
        <v>63</v>
      </c>
      <c r="T32" s="8" t="s">
        <v>64</v>
      </c>
      <c r="U32" s="8" t="s">
        <v>65</v>
      </c>
      <c r="V32" s="8" t="s">
        <v>66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2"/>
      <c r="CQ32" s="2"/>
      <c r="CR32" s="2"/>
      <c r="CS32" s="2"/>
      <c r="CT32" s="2"/>
      <c r="CU32" s="2"/>
      <c r="CV32" s="2"/>
      <c r="CW32" s="2"/>
    </row>
    <row r="33" spans="1:101" s="69" customFormat="1" ht="17.25" customHeight="1">
      <c r="A33" s="13" t="s">
        <v>98</v>
      </c>
      <c r="B33" s="11" t="s">
        <v>26</v>
      </c>
      <c r="C33" s="44">
        <v>1.68</v>
      </c>
      <c r="D33" s="44">
        <v>1.68</v>
      </c>
      <c r="E33" s="44">
        <v>1.68</v>
      </c>
      <c r="F33" s="44">
        <v>1.68</v>
      </c>
      <c r="G33" s="44">
        <v>1.68</v>
      </c>
      <c r="H33" s="44">
        <v>1.68</v>
      </c>
      <c r="I33" s="44">
        <v>1.68</v>
      </c>
      <c r="J33" s="44">
        <v>1.68</v>
      </c>
      <c r="K33" s="44">
        <v>1.68</v>
      </c>
      <c r="L33" s="44">
        <v>1.68</v>
      </c>
      <c r="M33" s="44">
        <v>1.68</v>
      </c>
      <c r="N33" s="44">
        <v>1.68</v>
      </c>
      <c r="O33" s="44">
        <v>1.68</v>
      </c>
      <c r="P33" s="44">
        <v>1.68</v>
      </c>
      <c r="Q33" s="44">
        <v>1.68</v>
      </c>
      <c r="R33" s="44">
        <v>1.68</v>
      </c>
      <c r="S33" s="44">
        <v>1.68</v>
      </c>
      <c r="T33" s="44">
        <v>1.68</v>
      </c>
      <c r="U33" s="44">
        <v>1.68</v>
      </c>
      <c r="V33" s="44">
        <v>1.68</v>
      </c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68"/>
      <c r="CQ33" s="68"/>
      <c r="CR33" s="68"/>
      <c r="CS33" s="68"/>
      <c r="CT33" s="68"/>
      <c r="CU33" s="68"/>
      <c r="CV33" s="68"/>
      <c r="CW33" s="68"/>
    </row>
    <row r="34" spans="1:101" s="65" customFormat="1" ht="15" thickBot="1">
      <c r="A34" s="61" t="s">
        <v>19</v>
      </c>
      <c r="B34" s="62" t="s">
        <v>97</v>
      </c>
      <c r="C34" s="193">
        <v>0</v>
      </c>
      <c r="D34" s="193">
        <v>0</v>
      </c>
      <c r="E34" s="194">
        <v>0</v>
      </c>
      <c r="F34" s="11">
        <v>30</v>
      </c>
      <c r="G34" s="11">
        <v>121</v>
      </c>
      <c r="H34" s="11">
        <v>241</v>
      </c>
      <c r="I34" s="11">
        <v>362</v>
      </c>
      <c r="J34" s="11">
        <v>482</v>
      </c>
      <c r="K34" s="11">
        <v>603</v>
      </c>
      <c r="L34" s="11">
        <v>723</v>
      </c>
      <c r="M34" s="11">
        <v>964</v>
      </c>
      <c r="N34" s="11">
        <v>1300</v>
      </c>
      <c r="O34" s="11">
        <v>1700</v>
      </c>
      <c r="P34" s="11">
        <v>1300</v>
      </c>
      <c r="Q34" s="11">
        <v>1700</v>
      </c>
      <c r="R34" s="11">
        <v>1300</v>
      </c>
      <c r="S34" s="11">
        <v>1700</v>
      </c>
      <c r="T34" s="11">
        <v>1300</v>
      </c>
      <c r="U34" s="11">
        <v>1700</v>
      </c>
      <c r="V34" s="11">
        <v>1300</v>
      </c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4"/>
      <c r="CQ34" s="64"/>
      <c r="CR34" s="64"/>
      <c r="CS34" s="64"/>
      <c r="CT34" s="64"/>
      <c r="CU34" s="64"/>
      <c r="CV34" s="64"/>
      <c r="CW34" s="64"/>
    </row>
    <row r="35" spans="1:101" s="3" customFormat="1" ht="15" thickBot="1">
      <c r="A35" s="4" t="s">
        <v>99</v>
      </c>
      <c r="B35" s="11" t="s">
        <v>96</v>
      </c>
      <c r="C35" s="195">
        <v>6.5</v>
      </c>
      <c r="D35" s="44">
        <f t="shared" ref="D35:V35" si="2">C35*$J$20</f>
        <v>6.63</v>
      </c>
      <c r="E35" s="44">
        <f t="shared" si="2"/>
        <v>6.7625999999999999</v>
      </c>
      <c r="F35" s="161">
        <f t="shared" si="2"/>
        <v>6.8978520000000003</v>
      </c>
      <c r="G35" s="161">
        <f t="shared" si="2"/>
        <v>7.0358090400000002</v>
      </c>
      <c r="H35" s="161">
        <f t="shared" si="2"/>
        <v>7.1765252208000003</v>
      </c>
      <c r="I35" s="161">
        <f t="shared" si="2"/>
        <v>7.3200557252160001</v>
      </c>
      <c r="J35" s="161">
        <f t="shared" si="2"/>
        <v>7.4664568397203199</v>
      </c>
      <c r="K35" s="161">
        <f t="shared" si="2"/>
        <v>7.6157859765147267</v>
      </c>
      <c r="L35" s="161">
        <f t="shared" si="2"/>
        <v>7.7681016960450213</v>
      </c>
      <c r="M35" s="161">
        <f t="shared" si="2"/>
        <v>7.9234637299659223</v>
      </c>
      <c r="N35" s="161">
        <f t="shared" si="2"/>
        <v>8.08193300456524</v>
      </c>
      <c r="O35" s="161">
        <f t="shared" si="2"/>
        <v>8.2435716646565442</v>
      </c>
      <c r="P35" s="161">
        <f t="shared" si="2"/>
        <v>8.4084430979496751</v>
      </c>
      <c r="Q35" s="161">
        <f t="shared" si="2"/>
        <v>8.5766119599086696</v>
      </c>
      <c r="R35" s="161">
        <f t="shared" si="2"/>
        <v>8.7481441991068429</v>
      </c>
      <c r="S35" s="161">
        <f t="shared" si="2"/>
        <v>8.9231070830889792</v>
      </c>
      <c r="T35" s="161">
        <f t="shared" si="2"/>
        <v>9.101569224750758</v>
      </c>
      <c r="U35" s="161">
        <f t="shared" si="2"/>
        <v>9.2836006092457737</v>
      </c>
      <c r="V35" s="162">
        <f t="shared" si="2"/>
        <v>9.4692726214306902</v>
      </c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2"/>
      <c r="CQ35" s="2"/>
      <c r="CR35" s="2"/>
      <c r="CS35" s="2"/>
      <c r="CT35" s="2"/>
      <c r="CU35" s="2"/>
      <c r="CV35" s="2"/>
      <c r="CW35" s="2"/>
    </row>
    <row r="36" spans="1:101" s="2" customFormat="1">
      <c r="A36" s="4" t="str">
        <f>'Chemical Mixing Rates'!F8</f>
        <v>Intrepid</v>
      </c>
      <c r="B36" s="11" t="str">
        <f>CU3</f>
        <v>$/oz</v>
      </c>
      <c r="C36" s="44">
        <f>(C19/128)</f>
        <v>2.16015625</v>
      </c>
      <c r="D36" s="44">
        <f>C36*$J$20</f>
        <v>2.2033593750000002</v>
      </c>
      <c r="E36" s="44">
        <f t="shared" ref="E36:V36" si="3">D36*$J$20</f>
        <v>2.2474265625000003</v>
      </c>
      <c r="F36" s="44">
        <f t="shared" si="3"/>
        <v>2.2923750937500005</v>
      </c>
      <c r="G36" s="44">
        <f t="shared" si="3"/>
        <v>2.3382225956250005</v>
      </c>
      <c r="H36" s="44">
        <f t="shared" si="3"/>
        <v>2.3849870475375003</v>
      </c>
      <c r="I36" s="44">
        <f t="shared" si="3"/>
        <v>2.4326867884882506</v>
      </c>
      <c r="J36" s="44">
        <f t="shared" si="3"/>
        <v>2.4813405242580155</v>
      </c>
      <c r="K36" s="44">
        <f t="shared" si="3"/>
        <v>2.5309673347431758</v>
      </c>
      <c r="L36" s="44">
        <f t="shared" si="3"/>
        <v>2.5815866814380395</v>
      </c>
      <c r="M36" s="44">
        <f t="shared" si="3"/>
        <v>2.6332184150668003</v>
      </c>
      <c r="N36" s="44">
        <f t="shared" si="3"/>
        <v>2.6858827833681365</v>
      </c>
      <c r="O36" s="44">
        <f t="shared" si="3"/>
        <v>2.7396004390354993</v>
      </c>
      <c r="P36" s="44">
        <f t="shared" si="3"/>
        <v>2.7943924478162092</v>
      </c>
      <c r="Q36" s="44">
        <f t="shared" si="3"/>
        <v>2.8502802967725334</v>
      </c>
      <c r="R36" s="44">
        <f t="shared" si="3"/>
        <v>2.9072859027079843</v>
      </c>
      <c r="S36" s="44">
        <f t="shared" si="3"/>
        <v>2.9654316207621441</v>
      </c>
      <c r="T36" s="44">
        <f t="shared" si="3"/>
        <v>3.024740253177387</v>
      </c>
      <c r="U36" s="44">
        <f t="shared" si="3"/>
        <v>3.0852350582409347</v>
      </c>
      <c r="V36" s="107">
        <f t="shared" si="3"/>
        <v>3.1469397594057535</v>
      </c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</row>
    <row r="37" spans="1:101" s="2" customFormat="1">
      <c r="A37" s="4" t="str">
        <f>'Chemical Mixing Rates'!F9</f>
        <v>Sevin</v>
      </c>
      <c r="B37" s="11" t="str">
        <f>CU4</f>
        <v>$/lb</v>
      </c>
      <c r="C37" s="44">
        <f>C20</f>
        <v>10.7</v>
      </c>
      <c r="D37" s="44">
        <f t="shared" ref="D37:V37" si="4">C37*$J$20</f>
        <v>10.914</v>
      </c>
      <c r="E37" s="44">
        <f t="shared" si="4"/>
        <v>11.13228</v>
      </c>
      <c r="F37" s="44">
        <f t="shared" si="4"/>
        <v>11.3549256</v>
      </c>
      <c r="G37" s="44">
        <f t="shared" si="4"/>
        <v>11.582024111999999</v>
      </c>
      <c r="H37" s="44">
        <f t="shared" si="4"/>
        <v>11.813664594239999</v>
      </c>
      <c r="I37" s="44">
        <f t="shared" si="4"/>
        <v>12.049937886124798</v>
      </c>
      <c r="J37" s="44">
        <f t="shared" si="4"/>
        <v>12.290936643847294</v>
      </c>
      <c r="K37" s="44">
        <f t="shared" si="4"/>
        <v>12.536755376724241</v>
      </c>
      <c r="L37" s="44">
        <f t="shared" si="4"/>
        <v>12.787490484258726</v>
      </c>
      <c r="M37" s="44">
        <f t="shared" si="4"/>
        <v>13.043240293943901</v>
      </c>
      <c r="N37" s="44">
        <f t="shared" si="4"/>
        <v>13.304105099822779</v>
      </c>
      <c r="O37" s="44">
        <f t="shared" si="4"/>
        <v>13.570187201819236</v>
      </c>
      <c r="P37" s="44">
        <f t="shared" si="4"/>
        <v>13.841590945855621</v>
      </c>
      <c r="Q37" s="44">
        <f t="shared" si="4"/>
        <v>14.118422764772735</v>
      </c>
      <c r="R37" s="44">
        <f t="shared" si="4"/>
        <v>14.400791220068189</v>
      </c>
      <c r="S37" s="44">
        <f t="shared" si="4"/>
        <v>14.688807044469554</v>
      </c>
      <c r="T37" s="44">
        <f t="shared" si="4"/>
        <v>14.982583185358946</v>
      </c>
      <c r="U37" s="44">
        <f t="shared" si="4"/>
        <v>15.282234849066125</v>
      </c>
      <c r="V37" s="107">
        <f t="shared" si="4"/>
        <v>15.587879546047448</v>
      </c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</row>
    <row r="38" spans="1:101" s="2" customFormat="1">
      <c r="A38" s="4" t="str">
        <f>'Chemical Mixing Rates'!F10</f>
        <v>Warrior 2</v>
      </c>
      <c r="B38" s="11" t="str">
        <f>CU5</f>
        <v>$/oz</v>
      </c>
      <c r="C38" s="44">
        <f>C21/128</f>
        <v>2.0234375</v>
      </c>
      <c r="D38" s="44">
        <f t="shared" ref="D38:V38" si="5">C38*$J$20</f>
        <v>2.0639062500000001</v>
      </c>
      <c r="E38" s="44">
        <f t="shared" si="5"/>
        <v>2.1051843749999999</v>
      </c>
      <c r="F38" s="44">
        <f t="shared" si="5"/>
        <v>2.1472880624999999</v>
      </c>
      <c r="G38" s="44">
        <f t="shared" si="5"/>
        <v>2.1902338237499999</v>
      </c>
      <c r="H38" s="44">
        <f t="shared" si="5"/>
        <v>2.2340385002250001</v>
      </c>
      <c r="I38" s="44">
        <f t="shared" si="5"/>
        <v>2.2787192702295003</v>
      </c>
      <c r="J38" s="44">
        <f t="shared" si="5"/>
        <v>2.3242936556340905</v>
      </c>
      <c r="K38" s="44">
        <f t="shared" si="5"/>
        <v>2.3707795287467723</v>
      </c>
      <c r="L38" s="44">
        <f t="shared" si="5"/>
        <v>2.4181951193217079</v>
      </c>
      <c r="M38" s="44">
        <f t="shared" si="5"/>
        <v>2.4665590217081421</v>
      </c>
      <c r="N38" s="44">
        <f t="shared" si="5"/>
        <v>2.5158902021423049</v>
      </c>
      <c r="O38" s="44">
        <f t="shared" si="5"/>
        <v>2.5662080061851511</v>
      </c>
      <c r="P38" s="44">
        <f t="shared" si="5"/>
        <v>2.617532166308854</v>
      </c>
      <c r="Q38" s="44">
        <f t="shared" si="5"/>
        <v>2.6698828096350313</v>
      </c>
      <c r="R38" s="44">
        <f t="shared" si="5"/>
        <v>2.7232804658277319</v>
      </c>
      <c r="S38" s="44">
        <f t="shared" si="5"/>
        <v>2.7777460751442864</v>
      </c>
      <c r="T38" s="44">
        <f t="shared" si="5"/>
        <v>2.8333009966471723</v>
      </c>
      <c r="U38" s="44">
        <f t="shared" si="5"/>
        <v>2.8899670165801159</v>
      </c>
      <c r="V38" s="107">
        <f t="shared" si="5"/>
        <v>2.9477663569117181</v>
      </c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</row>
    <row r="39" spans="1:101">
      <c r="A39" s="4" t="str">
        <f>'Chemical Mixing Rates'!F12</f>
        <v>Roundup</v>
      </c>
      <c r="B39" s="11" t="str">
        <f t="shared" ref="B39:B48" si="6">CU7</f>
        <v>$/oz</v>
      </c>
      <c r="C39" s="44">
        <f>C22/128</f>
        <v>0.12578125000000001</v>
      </c>
      <c r="D39" s="44">
        <f t="shared" ref="D39:V39" si="7">C39*$J$20</f>
        <v>0.128296875</v>
      </c>
      <c r="E39" s="44">
        <f t="shared" si="7"/>
        <v>0.13086281250000001</v>
      </c>
      <c r="F39" s="44">
        <f t="shared" si="7"/>
        <v>0.13348006875000001</v>
      </c>
      <c r="G39" s="44">
        <f t="shared" si="7"/>
        <v>0.13614967012500001</v>
      </c>
      <c r="H39" s="44">
        <f t="shared" si="7"/>
        <v>0.13887266352750002</v>
      </c>
      <c r="I39" s="44">
        <f t="shared" si="7"/>
        <v>0.14165011679805004</v>
      </c>
      <c r="J39" s="44">
        <f t="shared" si="7"/>
        <v>0.14448311913401105</v>
      </c>
      <c r="K39" s="44">
        <f t="shared" si="7"/>
        <v>0.14737278151669128</v>
      </c>
      <c r="L39" s="44">
        <f t="shared" si="7"/>
        <v>0.15032023714702511</v>
      </c>
      <c r="M39" s="44">
        <f t="shared" si="7"/>
        <v>0.15332664188996561</v>
      </c>
      <c r="N39" s="44">
        <f t="shared" si="7"/>
        <v>0.15639317472776493</v>
      </c>
      <c r="O39" s="44">
        <f t="shared" si="7"/>
        <v>0.15952103822232022</v>
      </c>
      <c r="P39" s="44">
        <f t="shared" si="7"/>
        <v>0.16271145898676662</v>
      </c>
      <c r="Q39" s="44">
        <f t="shared" si="7"/>
        <v>0.16596568816650195</v>
      </c>
      <c r="R39" s="44">
        <f t="shared" si="7"/>
        <v>0.16928500192983198</v>
      </c>
      <c r="S39" s="44">
        <f t="shared" si="7"/>
        <v>0.17267070196842862</v>
      </c>
      <c r="T39" s="44">
        <f t="shared" si="7"/>
        <v>0.1761241160077972</v>
      </c>
      <c r="U39" s="44">
        <f t="shared" si="7"/>
        <v>0.17964659832795316</v>
      </c>
      <c r="V39" s="107">
        <f t="shared" si="7"/>
        <v>0.18323953029451223</v>
      </c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2"/>
      <c r="CQ39" s="2"/>
      <c r="CR39" s="2"/>
      <c r="CS39" s="2"/>
      <c r="CT39" s="2"/>
      <c r="CU39" s="2"/>
      <c r="CV39" s="2"/>
      <c r="CW39" s="2"/>
    </row>
    <row r="40" spans="1:101">
      <c r="A40" s="4" t="str">
        <f>'Chemical Mixing Rates'!F13</f>
        <v/>
      </c>
      <c r="B40" s="11" t="str">
        <f t="shared" si="6"/>
        <v/>
      </c>
      <c r="C40" s="44"/>
      <c r="D40" s="44">
        <f t="shared" ref="D40:V40" si="8">C40*$J$20</f>
        <v>0</v>
      </c>
      <c r="E40" s="44">
        <f t="shared" si="8"/>
        <v>0</v>
      </c>
      <c r="F40" s="44">
        <f t="shared" si="8"/>
        <v>0</v>
      </c>
      <c r="G40" s="44">
        <f t="shared" si="8"/>
        <v>0</v>
      </c>
      <c r="H40" s="44">
        <f t="shared" si="8"/>
        <v>0</v>
      </c>
      <c r="I40" s="44">
        <f t="shared" si="8"/>
        <v>0</v>
      </c>
      <c r="J40" s="44">
        <f t="shared" si="8"/>
        <v>0</v>
      </c>
      <c r="K40" s="44">
        <f t="shared" si="8"/>
        <v>0</v>
      </c>
      <c r="L40" s="44">
        <f t="shared" si="8"/>
        <v>0</v>
      </c>
      <c r="M40" s="44">
        <f t="shared" si="8"/>
        <v>0</v>
      </c>
      <c r="N40" s="44">
        <f t="shared" si="8"/>
        <v>0</v>
      </c>
      <c r="O40" s="44">
        <f t="shared" si="8"/>
        <v>0</v>
      </c>
      <c r="P40" s="44">
        <f t="shared" si="8"/>
        <v>0</v>
      </c>
      <c r="Q40" s="44">
        <f t="shared" si="8"/>
        <v>0</v>
      </c>
      <c r="R40" s="44">
        <f t="shared" si="8"/>
        <v>0</v>
      </c>
      <c r="S40" s="44">
        <f t="shared" si="8"/>
        <v>0</v>
      </c>
      <c r="T40" s="44">
        <f t="shared" si="8"/>
        <v>0</v>
      </c>
      <c r="U40" s="44">
        <f t="shared" si="8"/>
        <v>0</v>
      </c>
      <c r="V40" s="107">
        <f t="shared" si="8"/>
        <v>0</v>
      </c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2"/>
      <c r="CQ40" s="2"/>
      <c r="CR40" s="2"/>
      <c r="CS40" s="2"/>
      <c r="CT40" s="2"/>
      <c r="CU40" s="2"/>
      <c r="CV40" s="2"/>
      <c r="CW40" s="2"/>
    </row>
    <row r="41" spans="1:101">
      <c r="A41" s="4" t="str">
        <f>'Chemical Mixing Rates'!F14</f>
        <v/>
      </c>
      <c r="B41" s="11" t="str">
        <f t="shared" si="6"/>
        <v/>
      </c>
      <c r="C41" s="44"/>
      <c r="D41" s="44">
        <f t="shared" ref="D41:V41" si="9">C41*$J$20</f>
        <v>0</v>
      </c>
      <c r="E41" s="44">
        <f t="shared" si="9"/>
        <v>0</v>
      </c>
      <c r="F41" s="44">
        <f t="shared" si="9"/>
        <v>0</v>
      </c>
      <c r="G41" s="44">
        <f t="shared" si="9"/>
        <v>0</v>
      </c>
      <c r="H41" s="44">
        <f t="shared" si="9"/>
        <v>0</v>
      </c>
      <c r="I41" s="44">
        <f t="shared" si="9"/>
        <v>0</v>
      </c>
      <c r="J41" s="44">
        <f t="shared" si="9"/>
        <v>0</v>
      </c>
      <c r="K41" s="44">
        <f t="shared" si="9"/>
        <v>0</v>
      </c>
      <c r="L41" s="44">
        <f t="shared" si="9"/>
        <v>0</v>
      </c>
      <c r="M41" s="44">
        <f t="shared" si="9"/>
        <v>0</v>
      </c>
      <c r="N41" s="44">
        <f t="shared" si="9"/>
        <v>0</v>
      </c>
      <c r="O41" s="44">
        <f t="shared" si="9"/>
        <v>0</v>
      </c>
      <c r="P41" s="44">
        <f t="shared" si="9"/>
        <v>0</v>
      </c>
      <c r="Q41" s="44">
        <f t="shared" si="9"/>
        <v>0</v>
      </c>
      <c r="R41" s="44">
        <f t="shared" si="9"/>
        <v>0</v>
      </c>
      <c r="S41" s="44">
        <f t="shared" si="9"/>
        <v>0</v>
      </c>
      <c r="T41" s="44">
        <f t="shared" si="9"/>
        <v>0</v>
      </c>
      <c r="U41" s="44">
        <f t="shared" si="9"/>
        <v>0</v>
      </c>
      <c r="V41" s="107">
        <f t="shared" si="9"/>
        <v>0</v>
      </c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2"/>
      <c r="CQ41" s="2"/>
      <c r="CR41" s="2"/>
      <c r="CS41" s="2"/>
      <c r="CT41" s="2"/>
      <c r="CU41" s="2"/>
      <c r="CV41" s="2"/>
      <c r="CW41" s="2"/>
    </row>
    <row r="42" spans="1:101">
      <c r="A42" s="4" t="str">
        <f>'Chemical Mixing Rates'!F15</f>
        <v>Urea (46-0-0)</v>
      </c>
      <c r="B42" s="11" t="str">
        <f t="shared" si="6"/>
        <v>$/lb</v>
      </c>
      <c r="C42" s="44">
        <f>C25</f>
        <v>0.5</v>
      </c>
      <c r="D42" s="44">
        <f t="shared" ref="D42:V42" si="10">C42*$J$20</f>
        <v>0.51</v>
      </c>
      <c r="E42" s="44">
        <f t="shared" si="10"/>
        <v>0.5202</v>
      </c>
      <c r="F42" s="44">
        <f t="shared" si="10"/>
        <v>0.53060399999999996</v>
      </c>
      <c r="G42" s="44">
        <f t="shared" si="10"/>
        <v>0.54121607999999999</v>
      </c>
      <c r="H42" s="44">
        <f t="shared" si="10"/>
        <v>0.55204040160000001</v>
      </c>
      <c r="I42" s="44">
        <f t="shared" si="10"/>
        <v>0.56308120963200003</v>
      </c>
      <c r="J42" s="44">
        <f t="shared" si="10"/>
        <v>0.57434283382464002</v>
      </c>
      <c r="K42" s="44">
        <f t="shared" si="10"/>
        <v>0.58582969050113287</v>
      </c>
      <c r="L42" s="44">
        <f t="shared" si="10"/>
        <v>0.59754628431115553</v>
      </c>
      <c r="M42" s="44">
        <f t="shared" si="10"/>
        <v>0.60949720999737866</v>
      </c>
      <c r="N42" s="44">
        <f t="shared" si="10"/>
        <v>0.62168715419732623</v>
      </c>
      <c r="O42" s="44">
        <f t="shared" si="10"/>
        <v>0.63412089728127274</v>
      </c>
      <c r="P42" s="44">
        <f t="shared" si="10"/>
        <v>0.64680331522689816</v>
      </c>
      <c r="Q42" s="44">
        <f t="shared" si="10"/>
        <v>0.65973938153143619</v>
      </c>
      <c r="R42" s="44">
        <f t="shared" si="10"/>
        <v>0.67293416916206494</v>
      </c>
      <c r="S42" s="44">
        <f t="shared" si="10"/>
        <v>0.68639285254530624</v>
      </c>
      <c r="T42" s="44">
        <f t="shared" si="10"/>
        <v>0.70012070959621242</v>
      </c>
      <c r="U42" s="44">
        <f t="shared" si="10"/>
        <v>0.71412312378813669</v>
      </c>
      <c r="V42" s="107">
        <f t="shared" si="10"/>
        <v>0.7284055862638994</v>
      </c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2"/>
      <c r="CQ42" s="2"/>
      <c r="CR42" s="2"/>
      <c r="CS42" s="2"/>
      <c r="CT42" s="2"/>
      <c r="CU42" s="2"/>
      <c r="CV42" s="2"/>
      <c r="CW42" s="2"/>
    </row>
    <row r="43" spans="1:101">
      <c r="A43" s="4" t="str">
        <f>'Chemical Mixing Rates'!F16</f>
        <v>Nickel</v>
      </c>
      <c r="B43" s="11" t="str">
        <f t="shared" si="6"/>
        <v>$/pt</v>
      </c>
      <c r="C43" s="44">
        <f>C26/8</f>
        <v>5.75</v>
      </c>
      <c r="D43" s="44">
        <f t="shared" ref="D43:V43" si="11">C43*$J$20</f>
        <v>5.8650000000000002</v>
      </c>
      <c r="E43" s="44">
        <f t="shared" si="11"/>
        <v>5.9823000000000004</v>
      </c>
      <c r="F43" s="44">
        <f t="shared" si="11"/>
        <v>6.1019460000000008</v>
      </c>
      <c r="G43" s="44">
        <f t="shared" si="11"/>
        <v>6.2239849200000013</v>
      </c>
      <c r="H43" s="44">
        <f t="shared" si="11"/>
        <v>6.3484646184000013</v>
      </c>
      <c r="I43" s="44">
        <f t="shared" si="11"/>
        <v>6.4754339107680012</v>
      </c>
      <c r="J43" s="44">
        <f t="shared" si="11"/>
        <v>6.6049425889833611</v>
      </c>
      <c r="K43" s="44">
        <f t="shared" si="11"/>
        <v>6.7370414407630284</v>
      </c>
      <c r="L43" s="44">
        <f t="shared" si="11"/>
        <v>6.8717822695782891</v>
      </c>
      <c r="M43" s="44">
        <f t="shared" si="11"/>
        <v>7.009217914969855</v>
      </c>
      <c r="N43" s="44">
        <f t="shared" si="11"/>
        <v>7.1494022732692519</v>
      </c>
      <c r="O43" s="44">
        <f t="shared" si="11"/>
        <v>7.2923903187346371</v>
      </c>
      <c r="P43" s="44">
        <f t="shared" si="11"/>
        <v>7.4382381251093301</v>
      </c>
      <c r="Q43" s="44">
        <f t="shared" si="11"/>
        <v>7.5870028876115168</v>
      </c>
      <c r="R43" s="44">
        <f t="shared" si="11"/>
        <v>7.7387429453637475</v>
      </c>
      <c r="S43" s="44">
        <f t="shared" si="11"/>
        <v>7.8935178042710223</v>
      </c>
      <c r="T43" s="44">
        <f t="shared" si="11"/>
        <v>8.0513881603564421</v>
      </c>
      <c r="U43" s="44">
        <f t="shared" si="11"/>
        <v>8.2124159235635705</v>
      </c>
      <c r="V43" s="107">
        <f t="shared" si="11"/>
        <v>8.3766642420348418</v>
      </c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2"/>
      <c r="CQ43" s="2"/>
      <c r="CR43" s="2"/>
      <c r="CS43" s="2"/>
      <c r="CT43" s="2"/>
      <c r="CU43" s="2"/>
      <c r="CV43" s="2"/>
      <c r="CW43" s="2"/>
    </row>
    <row r="44" spans="1:101" s="1" customFormat="1" ht="15" thickBot="1">
      <c r="A44" s="4" t="str">
        <f>'Chemical Mixing Rates'!F17</f>
        <v>Zinc Yrs 1-4</v>
      </c>
      <c r="B44" s="11" t="str">
        <f t="shared" si="6"/>
        <v>$/lb</v>
      </c>
      <c r="C44" s="44">
        <f>C27</f>
        <v>0.99</v>
      </c>
      <c r="D44" s="44">
        <f t="shared" ref="D44:V44" si="12">C44*$J$20</f>
        <v>1.0098</v>
      </c>
      <c r="E44" s="44">
        <f t="shared" si="12"/>
        <v>1.0299960000000001</v>
      </c>
      <c r="F44" s="44">
        <f t="shared" si="12"/>
        <v>1.0505959200000001</v>
      </c>
      <c r="G44" s="44">
        <f t="shared" si="12"/>
        <v>1.0716078384000001</v>
      </c>
      <c r="H44" s="44">
        <f t="shared" si="12"/>
        <v>1.0930399951680001</v>
      </c>
      <c r="I44" s="44">
        <f t="shared" si="12"/>
        <v>1.1149007950713601</v>
      </c>
      <c r="J44" s="44">
        <f t="shared" si="12"/>
        <v>1.1371988109727873</v>
      </c>
      <c r="K44" s="44">
        <f t="shared" si="12"/>
        <v>1.159942787192243</v>
      </c>
      <c r="L44" s="44">
        <f t="shared" si="12"/>
        <v>1.1831416429360879</v>
      </c>
      <c r="M44" s="44">
        <f t="shared" si="12"/>
        <v>1.2068044757948098</v>
      </c>
      <c r="N44" s="44">
        <f t="shared" si="12"/>
        <v>1.2309405653107059</v>
      </c>
      <c r="O44" s="44">
        <f t="shared" si="12"/>
        <v>1.2555593766169202</v>
      </c>
      <c r="P44" s="44">
        <f t="shared" si="12"/>
        <v>1.2806705641492586</v>
      </c>
      <c r="Q44" s="44">
        <f t="shared" si="12"/>
        <v>1.3062839754322437</v>
      </c>
      <c r="R44" s="44">
        <f t="shared" si="12"/>
        <v>1.3324096549408886</v>
      </c>
      <c r="S44" s="44">
        <f t="shared" si="12"/>
        <v>1.3590578480397064</v>
      </c>
      <c r="T44" s="44">
        <f t="shared" si="12"/>
        <v>1.3862390050005007</v>
      </c>
      <c r="U44" s="44">
        <f t="shared" si="12"/>
        <v>1.4139637851005107</v>
      </c>
      <c r="V44" s="107">
        <f t="shared" si="12"/>
        <v>1.442243060802521</v>
      </c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2"/>
      <c r="CQ44" s="2"/>
      <c r="CR44" s="2"/>
      <c r="CS44" s="2"/>
      <c r="CT44" s="2"/>
      <c r="CU44" s="2"/>
      <c r="CV44" s="2"/>
      <c r="CW44" s="2"/>
    </row>
    <row r="45" spans="1:101" s="2" customFormat="1">
      <c r="A45" s="4" t="str">
        <f>'Chemical Mixing Rates'!F18</f>
        <v>Zinc Yrs 5-50</v>
      </c>
      <c r="B45" s="11" t="str">
        <f t="shared" si="6"/>
        <v>$/lb</v>
      </c>
      <c r="C45" s="44">
        <f>C27</f>
        <v>0.99</v>
      </c>
      <c r="D45" s="44">
        <f t="shared" ref="D45:V45" si="13">C45*$J$20</f>
        <v>1.0098</v>
      </c>
      <c r="E45" s="44">
        <f t="shared" si="13"/>
        <v>1.0299960000000001</v>
      </c>
      <c r="F45" s="44">
        <f t="shared" si="13"/>
        <v>1.0505959200000001</v>
      </c>
      <c r="G45" s="44">
        <f t="shared" si="13"/>
        <v>1.0716078384000001</v>
      </c>
      <c r="H45" s="44">
        <f t="shared" si="13"/>
        <v>1.0930399951680001</v>
      </c>
      <c r="I45" s="44">
        <f t="shared" si="13"/>
        <v>1.1149007950713601</v>
      </c>
      <c r="J45" s="44">
        <f t="shared" si="13"/>
        <v>1.1371988109727873</v>
      </c>
      <c r="K45" s="44">
        <f t="shared" si="13"/>
        <v>1.159942787192243</v>
      </c>
      <c r="L45" s="44">
        <f t="shared" si="13"/>
        <v>1.1831416429360879</v>
      </c>
      <c r="M45" s="44">
        <f t="shared" si="13"/>
        <v>1.2068044757948098</v>
      </c>
      <c r="N45" s="44">
        <f t="shared" si="13"/>
        <v>1.2309405653107059</v>
      </c>
      <c r="O45" s="44">
        <f t="shared" si="13"/>
        <v>1.2555593766169202</v>
      </c>
      <c r="P45" s="44">
        <f t="shared" si="13"/>
        <v>1.2806705641492586</v>
      </c>
      <c r="Q45" s="44">
        <f t="shared" si="13"/>
        <v>1.3062839754322437</v>
      </c>
      <c r="R45" s="44">
        <f t="shared" si="13"/>
        <v>1.3324096549408886</v>
      </c>
      <c r="S45" s="44">
        <f t="shared" si="13"/>
        <v>1.3590578480397064</v>
      </c>
      <c r="T45" s="44">
        <f t="shared" si="13"/>
        <v>1.3862390050005007</v>
      </c>
      <c r="U45" s="44">
        <f t="shared" si="13"/>
        <v>1.4139637851005107</v>
      </c>
      <c r="V45" s="107">
        <f t="shared" si="13"/>
        <v>1.442243060802521</v>
      </c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</row>
    <row r="46" spans="1:101" s="2" customFormat="1">
      <c r="A46" s="4" t="str">
        <f>'Chemical Mixing Rates'!F19</f>
        <v>DAP (18-46-0)</v>
      </c>
      <c r="B46" s="11" t="str">
        <f t="shared" si="6"/>
        <v>$/lb</v>
      </c>
      <c r="C46" s="44">
        <f>C28</f>
        <v>0.26</v>
      </c>
      <c r="D46" s="44">
        <f t="shared" ref="D46:V46" si="14">C46*$J$20</f>
        <v>0.26519999999999999</v>
      </c>
      <c r="E46" s="44">
        <f t="shared" si="14"/>
        <v>0.27050400000000002</v>
      </c>
      <c r="F46" s="44">
        <f t="shared" si="14"/>
        <v>0.27591408000000001</v>
      </c>
      <c r="G46" s="44">
        <f t="shared" si="14"/>
        <v>0.28143236160000001</v>
      </c>
      <c r="H46" s="44">
        <f t="shared" si="14"/>
        <v>0.28706100883200003</v>
      </c>
      <c r="I46" s="44">
        <f t="shared" si="14"/>
        <v>0.29280222900864006</v>
      </c>
      <c r="J46" s="44">
        <f t="shared" si="14"/>
        <v>0.29865827358881286</v>
      </c>
      <c r="K46" s="44">
        <f t="shared" si="14"/>
        <v>0.30463143906058915</v>
      </c>
      <c r="L46" s="44">
        <f t="shared" si="14"/>
        <v>0.31072406784180095</v>
      </c>
      <c r="M46" s="44">
        <f t="shared" si="14"/>
        <v>0.31693854919863695</v>
      </c>
      <c r="N46" s="44">
        <f t="shared" si="14"/>
        <v>0.32327732018260968</v>
      </c>
      <c r="O46" s="44">
        <f t="shared" si="14"/>
        <v>0.3297428665862619</v>
      </c>
      <c r="P46" s="44">
        <f t="shared" si="14"/>
        <v>0.33633772391798716</v>
      </c>
      <c r="Q46" s="44">
        <f t="shared" si="14"/>
        <v>0.34306447839634691</v>
      </c>
      <c r="R46" s="44">
        <f t="shared" si="14"/>
        <v>0.34992576796427383</v>
      </c>
      <c r="S46" s="44">
        <f t="shared" si="14"/>
        <v>0.3569242833235593</v>
      </c>
      <c r="T46" s="44">
        <f t="shared" si="14"/>
        <v>0.36406276899003048</v>
      </c>
      <c r="U46" s="44">
        <f t="shared" si="14"/>
        <v>0.3713440243698311</v>
      </c>
      <c r="V46" s="107">
        <f t="shared" si="14"/>
        <v>0.37877090485722775</v>
      </c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</row>
    <row r="47" spans="1:101" s="2" customFormat="1">
      <c r="A47" s="4" t="str">
        <f>'Chemical Mixing Rates'!F20</f>
        <v>Potash (0-0-60)</v>
      </c>
      <c r="B47" s="11" t="str">
        <f t="shared" si="6"/>
        <v>$/lb</v>
      </c>
      <c r="C47" s="44">
        <f>C29</f>
        <v>0.23</v>
      </c>
      <c r="D47" s="44">
        <f t="shared" ref="D47:V47" si="15">C47*$J$20</f>
        <v>0.2346</v>
      </c>
      <c r="E47" s="44">
        <f t="shared" si="15"/>
        <v>0.239292</v>
      </c>
      <c r="F47" s="44">
        <f t="shared" si="15"/>
        <v>0.24407784000000002</v>
      </c>
      <c r="G47" s="44">
        <f t="shared" si="15"/>
        <v>0.24895939680000001</v>
      </c>
      <c r="H47" s="44">
        <f t="shared" si="15"/>
        <v>0.25393858473600001</v>
      </c>
      <c r="I47" s="44">
        <f t="shared" si="15"/>
        <v>0.25901735643071999</v>
      </c>
      <c r="J47" s="44">
        <f t="shared" si="15"/>
        <v>0.26419770355933442</v>
      </c>
      <c r="K47" s="44">
        <f t="shared" si="15"/>
        <v>0.26948165763052112</v>
      </c>
      <c r="L47" s="44">
        <f t="shared" si="15"/>
        <v>0.27487129078313155</v>
      </c>
      <c r="M47" s="44">
        <f t="shared" si="15"/>
        <v>0.2803687165987942</v>
      </c>
      <c r="N47" s="44">
        <f t="shared" si="15"/>
        <v>0.28597609093077009</v>
      </c>
      <c r="O47" s="44">
        <f t="shared" si="15"/>
        <v>0.29169561274938549</v>
      </c>
      <c r="P47" s="44">
        <f t="shared" si="15"/>
        <v>0.29752952500437319</v>
      </c>
      <c r="Q47" s="44">
        <f t="shared" si="15"/>
        <v>0.30348011550446063</v>
      </c>
      <c r="R47" s="44">
        <f t="shared" si="15"/>
        <v>0.30954971781454987</v>
      </c>
      <c r="S47" s="44">
        <f t="shared" si="15"/>
        <v>0.31574071217084088</v>
      </c>
      <c r="T47" s="44">
        <f t="shared" si="15"/>
        <v>0.32205552641425772</v>
      </c>
      <c r="U47" s="44">
        <f t="shared" si="15"/>
        <v>0.32849663694254289</v>
      </c>
      <c r="V47" s="107">
        <f t="shared" si="15"/>
        <v>0.33506656968139376</v>
      </c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</row>
    <row r="48" spans="1:101">
      <c r="A48" s="4" t="str">
        <f>'Chemical Mixing Rates'!F21</f>
        <v>Manganese</v>
      </c>
      <c r="B48" s="11" t="str">
        <f t="shared" si="6"/>
        <v>$/lb</v>
      </c>
      <c r="C48" s="44">
        <f>C30</f>
        <v>0.85</v>
      </c>
      <c r="D48" s="44">
        <f t="shared" ref="D48:V48" si="16">C48*$J$20</f>
        <v>0.86699999999999999</v>
      </c>
      <c r="E48" s="44">
        <f t="shared" si="16"/>
        <v>0.88434000000000001</v>
      </c>
      <c r="F48" s="44">
        <f t="shared" si="16"/>
        <v>0.90202680000000002</v>
      </c>
      <c r="G48" s="44">
        <f t="shared" si="16"/>
        <v>0.92006733600000001</v>
      </c>
      <c r="H48" s="44">
        <f t="shared" si="16"/>
        <v>0.93846868272000006</v>
      </c>
      <c r="I48" s="44">
        <f t="shared" si="16"/>
        <v>0.95723805637440007</v>
      </c>
      <c r="J48" s="44">
        <f t="shared" si="16"/>
        <v>0.97638281750188805</v>
      </c>
      <c r="K48" s="44">
        <f t="shared" si="16"/>
        <v>0.99591047385192577</v>
      </c>
      <c r="L48" s="44">
        <f t="shared" si="16"/>
        <v>1.0158286833289643</v>
      </c>
      <c r="M48" s="44">
        <f t="shared" si="16"/>
        <v>1.0361452569955436</v>
      </c>
      <c r="N48" s="44">
        <f t="shared" si="16"/>
        <v>1.0568681621354545</v>
      </c>
      <c r="O48" s="44">
        <f t="shared" si="16"/>
        <v>1.0780055253781637</v>
      </c>
      <c r="P48" s="44">
        <f t="shared" si="16"/>
        <v>1.0995656358857271</v>
      </c>
      <c r="Q48" s="44">
        <f t="shared" si="16"/>
        <v>1.1215569486034416</v>
      </c>
      <c r="R48" s="44">
        <f t="shared" si="16"/>
        <v>1.1439880875755104</v>
      </c>
      <c r="S48" s="44">
        <f t="shared" si="16"/>
        <v>1.1668678493270206</v>
      </c>
      <c r="T48" s="44">
        <f t="shared" si="16"/>
        <v>1.1902052063135611</v>
      </c>
      <c r="U48" s="44">
        <f t="shared" si="16"/>
        <v>1.2140093104398324</v>
      </c>
      <c r="V48" s="107">
        <f t="shared" si="16"/>
        <v>1.2382894966486291</v>
      </c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2"/>
      <c r="CQ48" s="2"/>
      <c r="CR48" s="2"/>
      <c r="CS48" s="2"/>
      <c r="CT48" s="2"/>
      <c r="CU48" s="2"/>
      <c r="CV48" s="2"/>
      <c r="CW48" s="2"/>
    </row>
    <row r="49" spans="1:101">
      <c r="A49" s="7" t="s">
        <v>95</v>
      </c>
      <c r="B49" s="11" t="s">
        <v>94</v>
      </c>
      <c r="C49" s="195">
        <v>0.05</v>
      </c>
      <c r="D49" s="44">
        <f t="shared" ref="D49:V49" si="17">C49*$J$20</f>
        <v>5.1000000000000004E-2</v>
      </c>
      <c r="E49" s="44">
        <f t="shared" si="17"/>
        <v>5.2020000000000004E-2</v>
      </c>
      <c r="F49" s="44">
        <f t="shared" si="17"/>
        <v>5.3060400000000008E-2</v>
      </c>
      <c r="G49" s="44">
        <f t="shared" si="17"/>
        <v>5.4121608000000009E-2</v>
      </c>
      <c r="H49" s="44">
        <f t="shared" si="17"/>
        <v>5.5204040160000009E-2</v>
      </c>
      <c r="I49" s="44">
        <f t="shared" si="17"/>
        <v>5.6308120963200009E-2</v>
      </c>
      <c r="J49" s="44">
        <f t="shared" si="17"/>
        <v>5.7434283382464008E-2</v>
      </c>
      <c r="K49" s="44">
        <f t="shared" si="17"/>
        <v>5.8582969050113287E-2</v>
      </c>
      <c r="L49" s="44">
        <f t="shared" si="17"/>
        <v>5.9754628431115557E-2</v>
      </c>
      <c r="M49" s="44">
        <f t="shared" si="17"/>
        <v>6.0949720999737868E-2</v>
      </c>
      <c r="N49" s="44">
        <f t="shared" si="17"/>
        <v>6.2168715419732623E-2</v>
      </c>
      <c r="O49" s="44">
        <f t="shared" si="17"/>
        <v>6.3412089728127272E-2</v>
      </c>
      <c r="P49" s="44">
        <f t="shared" si="17"/>
        <v>6.4680331522689816E-2</v>
      </c>
      <c r="Q49" s="44">
        <f t="shared" si="17"/>
        <v>6.5973938153143619E-2</v>
      </c>
      <c r="R49" s="44">
        <f t="shared" si="17"/>
        <v>6.7293416916206494E-2</v>
      </c>
      <c r="S49" s="44">
        <f t="shared" si="17"/>
        <v>6.8639285254530627E-2</v>
      </c>
      <c r="T49" s="44">
        <f t="shared" si="17"/>
        <v>7.0012070959621239E-2</v>
      </c>
      <c r="U49" s="44">
        <f t="shared" si="17"/>
        <v>7.1412312378813667E-2</v>
      </c>
      <c r="V49" s="107">
        <f t="shared" si="17"/>
        <v>7.284055862638994E-2</v>
      </c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2"/>
      <c r="CQ49" s="2"/>
      <c r="CR49" s="2"/>
      <c r="CS49" s="2"/>
      <c r="CT49" s="2"/>
      <c r="CU49" s="2"/>
      <c r="CV49" s="2"/>
      <c r="CW49" s="2"/>
    </row>
    <row r="50" spans="1:101" s="2" customFormat="1">
      <c r="A50" s="7" t="s">
        <v>120</v>
      </c>
      <c r="B50" s="11" t="s">
        <v>139</v>
      </c>
      <c r="C50" s="195">
        <v>25</v>
      </c>
      <c r="D50" s="44">
        <f t="shared" ref="D50:V50" si="18">C50*$J$20</f>
        <v>25.5</v>
      </c>
      <c r="E50" s="44">
        <f t="shared" si="18"/>
        <v>26.01</v>
      </c>
      <c r="F50" s="44">
        <f t="shared" si="18"/>
        <v>26.530200000000001</v>
      </c>
      <c r="G50" s="44">
        <f t="shared" si="18"/>
        <v>27.060804000000001</v>
      </c>
      <c r="H50" s="44">
        <f t="shared" si="18"/>
        <v>27.602020080000003</v>
      </c>
      <c r="I50" s="44">
        <f t="shared" si="18"/>
        <v>28.154060481600002</v>
      </c>
      <c r="J50" s="44">
        <f t="shared" si="18"/>
        <v>28.717141691232001</v>
      </c>
      <c r="K50" s="44">
        <f t="shared" si="18"/>
        <v>29.291484525056642</v>
      </c>
      <c r="L50" s="44">
        <f t="shared" si="18"/>
        <v>29.877314215557774</v>
      </c>
      <c r="M50" s="44">
        <f t="shared" si="18"/>
        <v>30.474860499868932</v>
      </c>
      <c r="N50" s="44">
        <f t="shared" si="18"/>
        <v>31.08435770986631</v>
      </c>
      <c r="O50" s="44">
        <f t="shared" si="18"/>
        <v>31.706044864063639</v>
      </c>
      <c r="P50" s="44">
        <f t="shared" si="18"/>
        <v>32.340165761344913</v>
      </c>
      <c r="Q50" s="44">
        <f t="shared" si="18"/>
        <v>32.98696907657181</v>
      </c>
      <c r="R50" s="44">
        <f t="shared" si="18"/>
        <v>33.646708458103248</v>
      </c>
      <c r="S50" s="44">
        <f t="shared" si="18"/>
        <v>34.319642627265317</v>
      </c>
      <c r="T50" s="44">
        <f t="shared" si="18"/>
        <v>35.006035479810627</v>
      </c>
      <c r="U50" s="44">
        <f t="shared" si="18"/>
        <v>35.70615618940684</v>
      </c>
      <c r="V50" s="44">
        <f t="shared" si="18"/>
        <v>36.420279313194975</v>
      </c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</row>
    <row r="51" spans="1:101">
      <c r="A51" s="6"/>
      <c r="B51" s="9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2"/>
      <c r="CQ51" s="2"/>
      <c r="CR51" s="2"/>
      <c r="CS51" s="2"/>
      <c r="CT51" s="2"/>
      <c r="CU51" s="2"/>
      <c r="CV51" s="2"/>
      <c r="CW51" s="2"/>
    </row>
    <row r="52" spans="1:101" ht="26" thickBot="1">
      <c r="A52" s="28" t="s">
        <v>39</v>
      </c>
      <c r="B52" s="70"/>
      <c r="C52" s="9"/>
      <c r="D52" s="9"/>
      <c r="E52" s="9"/>
      <c r="F52" s="9"/>
      <c r="G52" s="9"/>
      <c r="H52" s="9"/>
      <c r="I52" s="9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2"/>
      <c r="CQ52" s="2"/>
      <c r="CR52" s="2"/>
      <c r="CS52" s="2"/>
      <c r="CT52" s="2"/>
      <c r="CU52" s="2"/>
      <c r="CV52" s="2"/>
      <c r="CW52" s="2"/>
    </row>
    <row r="53" spans="1:101" ht="16" thickBot="1">
      <c r="A53" s="97" t="s">
        <v>167</v>
      </c>
      <c r="B53" s="8" t="s">
        <v>3</v>
      </c>
      <c r="C53" s="8" t="s">
        <v>10</v>
      </c>
      <c r="D53" s="8" t="s">
        <v>11</v>
      </c>
      <c r="E53" s="8" t="s">
        <v>12</v>
      </c>
      <c r="F53" s="8" t="s">
        <v>13</v>
      </c>
      <c r="G53" s="8" t="s">
        <v>16</v>
      </c>
      <c r="H53" s="8" t="s">
        <v>14</v>
      </c>
      <c r="I53" s="8" t="s">
        <v>15</v>
      </c>
      <c r="J53" s="8" t="s">
        <v>54</v>
      </c>
      <c r="K53" s="8" t="s">
        <v>55</v>
      </c>
      <c r="L53" s="8" t="s">
        <v>56</v>
      </c>
      <c r="M53" s="8" t="s">
        <v>57</v>
      </c>
      <c r="N53" s="8" t="s">
        <v>58</v>
      </c>
      <c r="O53" s="8" t="s">
        <v>59</v>
      </c>
      <c r="P53" s="8" t="s">
        <v>60</v>
      </c>
      <c r="Q53" s="8" t="s">
        <v>61</v>
      </c>
      <c r="R53" s="8" t="s">
        <v>62</v>
      </c>
      <c r="S53" s="8" t="s">
        <v>63</v>
      </c>
      <c r="T53" s="8" t="s">
        <v>64</v>
      </c>
      <c r="U53" s="8" t="s">
        <v>65</v>
      </c>
      <c r="V53" s="8" t="s">
        <v>66</v>
      </c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2"/>
      <c r="CQ53" s="2"/>
      <c r="CR53" s="2"/>
      <c r="CS53" s="2"/>
      <c r="CT53" s="2"/>
      <c r="CU53" s="2"/>
      <c r="CV53" s="2"/>
      <c r="CW53" s="2"/>
    </row>
    <row r="54" spans="1:101">
      <c r="A54" s="37" t="s">
        <v>213</v>
      </c>
      <c r="B54" s="72" t="s">
        <v>185</v>
      </c>
      <c r="C54" s="196">
        <v>0.2</v>
      </c>
      <c r="D54" s="11"/>
      <c r="E54" s="11"/>
      <c r="F54" s="11"/>
      <c r="G54" s="11"/>
      <c r="H54" s="11"/>
      <c r="I54" s="11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10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2"/>
      <c r="CQ54" s="2"/>
      <c r="CR54" s="2"/>
      <c r="CS54" s="2"/>
      <c r="CT54" s="2"/>
      <c r="CU54" s="2"/>
      <c r="CV54" s="2"/>
      <c r="CW54" s="2"/>
    </row>
    <row r="55" spans="1:101" s="1" customFormat="1" ht="15" thickBot="1">
      <c r="A55" s="37" t="s">
        <v>214</v>
      </c>
      <c r="B55" s="72" t="s">
        <v>185</v>
      </c>
      <c r="C55" s="196">
        <v>0.2</v>
      </c>
      <c r="D55" s="11"/>
      <c r="E55" s="11"/>
      <c r="F55" s="11"/>
      <c r="G55" s="11"/>
      <c r="H55" s="11"/>
      <c r="I55" s="11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10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2"/>
      <c r="CQ55" s="2"/>
      <c r="CR55" s="2"/>
      <c r="CS55" s="2"/>
      <c r="CT55" s="2"/>
      <c r="CU55" s="2"/>
      <c r="CV55" s="2"/>
      <c r="CW55" s="2"/>
    </row>
    <row r="56" spans="1:101">
      <c r="A56" s="37" t="s">
        <v>215</v>
      </c>
      <c r="B56" s="72" t="s">
        <v>185</v>
      </c>
      <c r="C56" s="196">
        <v>0.5</v>
      </c>
      <c r="D56" s="11"/>
      <c r="E56" s="11"/>
      <c r="F56" s="11"/>
      <c r="G56" s="11"/>
      <c r="H56" s="11"/>
      <c r="I56" s="11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10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2"/>
      <c r="CQ56" s="2"/>
      <c r="CR56" s="2"/>
      <c r="CS56" s="2"/>
      <c r="CT56" s="2"/>
      <c r="CU56" s="2"/>
      <c r="CV56" s="2"/>
      <c r="CW56" s="2"/>
    </row>
    <row r="57" spans="1:101">
      <c r="A57" s="90" t="str">
        <f>IF('Budget Display'!N4="Well","Well Drilling","Pond Construction")</f>
        <v>Well Drilling</v>
      </c>
      <c r="B57" s="72"/>
      <c r="C57" s="11"/>
      <c r="D57" s="11"/>
      <c r="E57" s="11"/>
      <c r="F57" s="11"/>
      <c r="G57" s="11"/>
      <c r="H57" s="11"/>
      <c r="I57" s="11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10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2"/>
      <c r="CQ57" s="2"/>
      <c r="CR57" s="2"/>
      <c r="CS57" s="2"/>
      <c r="CT57" s="2"/>
      <c r="CU57" s="2"/>
      <c r="CV57" s="2"/>
      <c r="CW57" s="2"/>
    </row>
    <row r="58" spans="1:101" s="1" customFormat="1" ht="15" hidden="1" thickBot="1">
      <c r="A58" s="38" t="s">
        <v>52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</row>
    <row r="59" spans="1:101" hidden="1">
      <c r="A59" s="88" t="str">
        <f>'Chemical Mixing Rates'!F12</f>
        <v>Roundup</v>
      </c>
      <c r="B59" s="93"/>
      <c r="C59" s="94"/>
      <c r="D59" s="94"/>
      <c r="E59" s="94"/>
      <c r="F59" s="94"/>
      <c r="G59" s="94"/>
      <c r="H59" s="94"/>
      <c r="I59" s="94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34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2"/>
      <c r="CQ59" s="2"/>
      <c r="CR59" s="2"/>
      <c r="CS59" s="2"/>
      <c r="CT59" s="2"/>
      <c r="CU59" s="2"/>
      <c r="CV59" s="2"/>
      <c r="CW59" s="2"/>
    </row>
    <row r="60" spans="1:101" s="1" customFormat="1" ht="15" hidden="1" thickBot="1">
      <c r="A60" s="88" t="str">
        <f>'Chemical Mixing Rates'!F13</f>
        <v/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08">
        <v>0</v>
      </c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</row>
    <row r="61" spans="1:101" hidden="1">
      <c r="A61" s="88" t="str">
        <f>'Chemical Mixing Rates'!F14</f>
        <v/>
      </c>
      <c r="B61" s="72"/>
      <c r="C61" s="11"/>
      <c r="D61" s="11"/>
      <c r="E61" s="11"/>
      <c r="F61" s="11"/>
      <c r="G61" s="11"/>
      <c r="H61" s="11"/>
      <c r="I61" s="11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10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2"/>
      <c r="CQ61" s="2"/>
      <c r="CR61" s="2"/>
      <c r="CS61" s="2"/>
      <c r="CT61" s="2"/>
      <c r="CU61" s="2"/>
      <c r="CV61" s="2"/>
      <c r="CW61" s="2"/>
    </row>
    <row r="62" spans="1:101" s="1" customFormat="1" ht="15" hidden="1" thickBot="1">
      <c r="A62" s="91" t="s">
        <v>5</v>
      </c>
      <c r="B62" s="92"/>
      <c r="C62" s="8"/>
      <c r="D62" s="8"/>
      <c r="E62" s="8"/>
      <c r="F62" s="8"/>
      <c r="G62" s="8"/>
      <c r="H62" s="8"/>
      <c r="I62" s="8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</row>
    <row r="63" spans="1:101" s="1" customFormat="1" ht="15" hidden="1" thickBot="1">
      <c r="A63" s="89" t="s">
        <v>166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109">
        <v>0</v>
      </c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</row>
    <row r="64" spans="1:101" hidden="1">
      <c r="A64" s="90" t="s">
        <v>8</v>
      </c>
      <c r="B64" s="72"/>
      <c r="C64" s="11"/>
      <c r="D64" s="11"/>
      <c r="E64" s="11"/>
      <c r="F64" s="11"/>
      <c r="G64" s="11"/>
      <c r="H64" s="11"/>
      <c r="I64" s="11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10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2"/>
      <c r="CQ64" s="2"/>
      <c r="CR64" s="2"/>
      <c r="CS64" s="2"/>
      <c r="CT64" s="2"/>
      <c r="CU64" s="2"/>
      <c r="CV64" s="2"/>
      <c r="CW64" s="2"/>
    </row>
    <row r="65" spans="1:101" s="1" customFormat="1" ht="15" thickBot="1">
      <c r="A65" s="38" t="s">
        <v>7</v>
      </c>
      <c r="B65" s="72"/>
      <c r="C65" s="11"/>
      <c r="D65" s="11"/>
      <c r="E65" s="11"/>
      <c r="F65" s="11"/>
      <c r="G65" s="11"/>
      <c r="H65" s="11"/>
      <c r="I65" s="11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10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2"/>
      <c r="CQ65" s="2"/>
      <c r="CR65" s="2"/>
      <c r="CS65" s="2"/>
      <c r="CT65" s="2"/>
      <c r="CU65" s="2"/>
      <c r="CV65" s="2"/>
      <c r="CW65" s="2"/>
    </row>
    <row r="66" spans="1:101">
      <c r="A66" s="37" t="s">
        <v>236</v>
      </c>
      <c r="B66" s="72" t="s">
        <v>185</v>
      </c>
      <c r="C66" s="11">
        <v>1.5</v>
      </c>
      <c r="D66" s="11">
        <v>1.5</v>
      </c>
      <c r="E66" s="11"/>
      <c r="F66" s="11"/>
      <c r="G66" s="11"/>
      <c r="H66" s="11"/>
      <c r="I66" s="11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10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2"/>
      <c r="CQ66" s="2"/>
      <c r="CR66" s="2"/>
      <c r="CS66" s="2"/>
      <c r="CT66" s="2"/>
      <c r="CU66" s="2"/>
      <c r="CV66" s="2"/>
      <c r="CW66" s="2"/>
    </row>
    <row r="67" spans="1:101" s="1" customFormat="1" ht="15" thickBot="1">
      <c r="A67" s="37" t="s">
        <v>199</v>
      </c>
      <c r="B67" s="72" t="s">
        <v>185</v>
      </c>
      <c r="C67" s="11">
        <v>1</v>
      </c>
      <c r="D67" s="11">
        <v>1</v>
      </c>
      <c r="E67" s="11"/>
      <c r="F67" s="11"/>
      <c r="G67" s="11"/>
      <c r="H67" s="11"/>
      <c r="I67" s="11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10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</row>
    <row r="68" spans="1:101" s="1" customFormat="1" ht="16" thickBot="1">
      <c r="A68" s="97" t="s">
        <v>31</v>
      </c>
      <c r="B68" s="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</row>
    <row r="69" spans="1:101" s="3" customFormat="1" ht="15" thickBot="1">
      <c r="A69" s="96" t="s">
        <v>22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98"/>
      <c r="CA69" s="98"/>
      <c r="CB69" s="98"/>
      <c r="CC69" s="98"/>
      <c r="CD69" s="98"/>
      <c r="CE69" s="98"/>
      <c r="CF69" s="98"/>
      <c r="CG69" s="98"/>
      <c r="CH69" s="98"/>
      <c r="CI69" s="98"/>
      <c r="CJ69" s="98"/>
      <c r="CK69" s="98"/>
      <c r="CL69" s="98"/>
      <c r="CM69" s="98"/>
      <c r="CN69" s="98"/>
      <c r="CO69" s="98"/>
    </row>
    <row r="70" spans="1:101">
      <c r="A70" s="6" t="s">
        <v>48</v>
      </c>
      <c r="B70" s="99" t="str">
        <f>'Chemical Mixing Rates'!H15</f>
        <v>lbs/ac</v>
      </c>
      <c r="C70" s="30">
        <f>'Chemical Mixing Rates'!$G$15</f>
        <v>100</v>
      </c>
      <c r="D70" s="30">
        <f>'Chemical Mixing Rates'!$G$15</f>
        <v>100</v>
      </c>
      <c r="E70" s="30">
        <f>'Chemical Mixing Rates'!$G$15</f>
        <v>100</v>
      </c>
      <c r="F70" s="30">
        <f>'Chemical Mixing Rates'!$G$15</f>
        <v>100</v>
      </c>
      <c r="G70" s="30">
        <f>'Chemical Mixing Rates'!$G$15</f>
        <v>100</v>
      </c>
      <c r="H70" s="30">
        <f>'Chemical Mixing Rates'!$G$15</f>
        <v>100</v>
      </c>
      <c r="I70" s="30">
        <f>'Chemical Mixing Rates'!$G$15</f>
        <v>100</v>
      </c>
      <c r="J70" s="30">
        <f>'Chemical Mixing Rates'!$G$15</f>
        <v>100</v>
      </c>
      <c r="K70" s="30">
        <f>'Chemical Mixing Rates'!$G$15</f>
        <v>100</v>
      </c>
      <c r="L70" s="30">
        <f>'Chemical Mixing Rates'!$G$15</f>
        <v>100</v>
      </c>
      <c r="M70" s="30">
        <f>'Chemical Mixing Rates'!$G$15</f>
        <v>100</v>
      </c>
      <c r="N70" s="30">
        <f>'Chemical Mixing Rates'!$G$15</f>
        <v>100</v>
      </c>
      <c r="O70" s="30">
        <f>'Chemical Mixing Rates'!$G$15</f>
        <v>100</v>
      </c>
      <c r="P70" s="30">
        <f>'Chemical Mixing Rates'!$G$15</f>
        <v>100</v>
      </c>
      <c r="Q70" s="30">
        <f>'Chemical Mixing Rates'!$G$15</f>
        <v>100</v>
      </c>
      <c r="R70" s="30">
        <f>'Chemical Mixing Rates'!$G$15</f>
        <v>100</v>
      </c>
      <c r="S70" s="30">
        <f>'Chemical Mixing Rates'!$G$15</f>
        <v>100</v>
      </c>
      <c r="T70" s="30">
        <f>'Chemical Mixing Rates'!$G$15</f>
        <v>100</v>
      </c>
      <c r="U70" s="30">
        <f>'Chemical Mixing Rates'!$G$15</f>
        <v>100</v>
      </c>
      <c r="V70" s="30">
        <f>'Chemical Mixing Rates'!$G$15</f>
        <v>100</v>
      </c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2"/>
      <c r="CQ70" s="2"/>
      <c r="CR70" s="2"/>
      <c r="CS70" s="2"/>
      <c r="CT70" s="2"/>
      <c r="CU70" s="2"/>
      <c r="CV70" s="2"/>
      <c r="CW70" s="2"/>
    </row>
    <row r="71" spans="1:101">
      <c r="A71" s="6" t="s">
        <v>109</v>
      </c>
      <c r="B71" s="99" t="str">
        <f>'Chemical Mixing Rates'!H16</f>
        <v>pts/ac</v>
      </c>
      <c r="C71" s="30">
        <f>'Chemical Mixing Rates'!$G$16</f>
        <v>0</v>
      </c>
      <c r="D71" s="30">
        <f>'Chemical Mixing Rates'!$G$16</f>
        <v>0</v>
      </c>
      <c r="E71" s="30">
        <f>'Chemical Mixing Rates'!$G$16</f>
        <v>0</v>
      </c>
      <c r="F71" s="30">
        <f>'Chemical Mixing Rates'!$G$16</f>
        <v>0</v>
      </c>
      <c r="G71" s="30">
        <f>'Chemical Mixing Rates'!$G$16</f>
        <v>0</v>
      </c>
      <c r="H71" s="30">
        <f>'Chemical Mixing Rates'!$G$16</f>
        <v>0</v>
      </c>
      <c r="I71" s="30">
        <f>'Chemical Mixing Rates'!$G$16</f>
        <v>0</v>
      </c>
      <c r="J71" s="30">
        <f>'Chemical Mixing Rates'!$G$16</f>
        <v>0</v>
      </c>
      <c r="K71" s="30">
        <f>'Chemical Mixing Rates'!$G$16</f>
        <v>0</v>
      </c>
      <c r="L71" s="30">
        <f>'Chemical Mixing Rates'!$G$16</f>
        <v>0</v>
      </c>
      <c r="M71" s="30">
        <f>'Chemical Mixing Rates'!$G$16</f>
        <v>0</v>
      </c>
      <c r="N71" s="30">
        <f>'Chemical Mixing Rates'!$G$16</f>
        <v>0</v>
      </c>
      <c r="O71" s="30">
        <f>'Chemical Mixing Rates'!$G$16</f>
        <v>0</v>
      </c>
      <c r="P71" s="30">
        <f>'Chemical Mixing Rates'!$G$16</f>
        <v>0</v>
      </c>
      <c r="Q71" s="30">
        <f>'Chemical Mixing Rates'!$G$16</f>
        <v>0</v>
      </c>
      <c r="R71" s="30">
        <f>'Chemical Mixing Rates'!$G$16</f>
        <v>0</v>
      </c>
      <c r="S71" s="30">
        <f>'Chemical Mixing Rates'!$G$16</f>
        <v>0</v>
      </c>
      <c r="T71" s="30">
        <f>'Chemical Mixing Rates'!$G$16</f>
        <v>0</v>
      </c>
      <c r="U71" s="30">
        <f>'Chemical Mixing Rates'!$G$16</f>
        <v>0</v>
      </c>
      <c r="V71" s="30">
        <f>'Chemical Mixing Rates'!$G$16</f>
        <v>0</v>
      </c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2"/>
      <c r="CQ71" s="2"/>
      <c r="CR71" s="2"/>
      <c r="CS71" s="2"/>
      <c r="CT71" s="2"/>
      <c r="CU71" s="2"/>
      <c r="CV71" s="2"/>
      <c r="CW71" s="2"/>
    </row>
    <row r="72" spans="1:101">
      <c r="A72" s="6" t="s">
        <v>88</v>
      </c>
      <c r="B72" s="99" t="str">
        <f>'Chemical Mixing Rates'!H17</f>
        <v>lbs/ac</v>
      </c>
      <c r="C72" s="123">
        <f>'Chemical Mixing Rates'!$G$17</f>
        <v>0.4</v>
      </c>
      <c r="D72" s="123">
        <f>'Chemical Mixing Rates'!$G$17</f>
        <v>0.4</v>
      </c>
      <c r="E72" s="123">
        <f>'Chemical Mixing Rates'!$G$17</f>
        <v>0.4</v>
      </c>
      <c r="F72" s="123">
        <f>'Chemical Mixing Rates'!$G$17</f>
        <v>0.4</v>
      </c>
      <c r="G72" s="123">
        <f>'Chemical Mixing Rates'!$G$17</f>
        <v>0.4</v>
      </c>
      <c r="H72" s="123">
        <f>'Chemical Mixing Rates'!$G$17</f>
        <v>0.4</v>
      </c>
      <c r="I72" s="123">
        <f>'Chemical Mixing Rates'!$G$17</f>
        <v>0.4</v>
      </c>
      <c r="J72" s="123">
        <f>'Chemical Mixing Rates'!$G$17</f>
        <v>0.4</v>
      </c>
      <c r="K72" s="123">
        <f>'Chemical Mixing Rates'!$G$17</f>
        <v>0.4</v>
      </c>
      <c r="L72" s="123">
        <f>'Chemical Mixing Rates'!$G$17</f>
        <v>0.4</v>
      </c>
      <c r="M72" s="123">
        <f>'Chemical Mixing Rates'!$G$17</f>
        <v>0.4</v>
      </c>
      <c r="N72" s="123">
        <f>'Chemical Mixing Rates'!$G$17</f>
        <v>0.4</v>
      </c>
      <c r="O72" s="123">
        <f>'Chemical Mixing Rates'!$G$17</f>
        <v>0.4</v>
      </c>
      <c r="P72" s="123">
        <f>'Chemical Mixing Rates'!$G$17</f>
        <v>0.4</v>
      </c>
      <c r="Q72" s="123">
        <f>'Chemical Mixing Rates'!$G$17</f>
        <v>0.4</v>
      </c>
      <c r="R72" s="123">
        <f>'Chemical Mixing Rates'!$G$17</f>
        <v>0.4</v>
      </c>
      <c r="S72" s="123">
        <f>'Chemical Mixing Rates'!$G$17</f>
        <v>0.4</v>
      </c>
      <c r="T72" s="123">
        <f>'Chemical Mixing Rates'!$G$17</f>
        <v>0.4</v>
      </c>
      <c r="U72" s="123">
        <f>'Chemical Mixing Rates'!$G$17</f>
        <v>0.4</v>
      </c>
      <c r="V72" s="123">
        <f>'Chemical Mixing Rates'!$G$17</f>
        <v>0.4</v>
      </c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2"/>
      <c r="CQ72" s="2"/>
      <c r="CR72" s="2"/>
      <c r="CS72" s="2"/>
      <c r="CT72" s="2"/>
      <c r="CU72" s="2"/>
      <c r="CV72" s="2"/>
      <c r="CW72" s="2"/>
    </row>
    <row r="73" spans="1:101">
      <c r="A73" s="6" t="s">
        <v>89</v>
      </c>
      <c r="B73" s="99" t="str">
        <f>'Chemical Mixing Rates'!H18</f>
        <v>lbs/ac</v>
      </c>
      <c r="C73" s="30">
        <f>'Chemical Mixing Rates'!$G$18</f>
        <v>6</v>
      </c>
      <c r="D73" s="30">
        <f>'Chemical Mixing Rates'!$G$18</f>
        <v>6</v>
      </c>
      <c r="E73" s="30">
        <f>'Chemical Mixing Rates'!$G$18</f>
        <v>6</v>
      </c>
      <c r="F73" s="30">
        <f>'Chemical Mixing Rates'!$G$18</f>
        <v>6</v>
      </c>
      <c r="G73" s="30">
        <f>'Chemical Mixing Rates'!$G$18</f>
        <v>6</v>
      </c>
      <c r="H73" s="30">
        <f>'Chemical Mixing Rates'!$G$18</f>
        <v>6</v>
      </c>
      <c r="I73" s="30">
        <f>'Chemical Mixing Rates'!$G$18</f>
        <v>6</v>
      </c>
      <c r="J73" s="30">
        <f>'Chemical Mixing Rates'!$G$18</f>
        <v>6</v>
      </c>
      <c r="K73" s="30">
        <f>'Chemical Mixing Rates'!$G$18</f>
        <v>6</v>
      </c>
      <c r="L73" s="30">
        <f>'Chemical Mixing Rates'!$G$18</f>
        <v>6</v>
      </c>
      <c r="M73" s="30">
        <f>'Chemical Mixing Rates'!$G$18</f>
        <v>6</v>
      </c>
      <c r="N73" s="30">
        <f>'Chemical Mixing Rates'!$G$18</f>
        <v>6</v>
      </c>
      <c r="O73" s="30">
        <f>'Chemical Mixing Rates'!$G$18</f>
        <v>6</v>
      </c>
      <c r="P73" s="30">
        <f>'Chemical Mixing Rates'!$G$18</f>
        <v>6</v>
      </c>
      <c r="Q73" s="30">
        <f>'Chemical Mixing Rates'!$G$18</f>
        <v>6</v>
      </c>
      <c r="R73" s="30">
        <f>'Chemical Mixing Rates'!$G$18</f>
        <v>6</v>
      </c>
      <c r="S73" s="30">
        <f>'Chemical Mixing Rates'!$G$18</f>
        <v>6</v>
      </c>
      <c r="T73" s="30">
        <f>'Chemical Mixing Rates'!$G$18</f>
        <v>6</v>
      </c>
      <c r="U73" s="30">
        <f>'Chemical Mixing Rates'!$G$18</f>
        <v>6</v>
      </c>
      <c r="V73" s="30">
        <f>'Chemical Mixing Rates'!$G$18</f>
        <v>6</v>
      </c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</row>
    <row r="74" spans="1:101" s="1" customFormat="1" ht="15" thickBot="1">
      <c r="A74" s="6" t="s">
        <v>85</v>
      </c>
      <c r="B74" s="99" t="str">
        <f>'Chemical Mixing Rates'!H19</f>
        <v>lbs/ac</v>
      </c>
      <c r="C74" s="30">
        <f>'Chemical Mixing Rates'!$G$19</f>
        <v>60</v>
      </c>
      <c r="D74" s="30">
        <f>'Chemical Mixing Rates'!$G$19</f>
        <v>60</v>
      </c>
      <c r="E74" s="30">
        <f>'Chemical Mixing Rates'!$G$19</f>
        <v>60</v>
      </c>
      <c r="F74" s="30">
        <f>'Chemical Mixing Rates'!$G$19</f>
        <v>60</v>
      </c>
      <c r="G74" s="30">
        <f>'Chemical Mixing Rates'!$G$19</f>
        <v>60</v>
      </c>
      <c r="H74" s="30">
        <f>'Chemical Mixing Rates'!$G$19</f>
        <v>60</v>
      </c>
      <c r="I74" s="30">
        <f>'Chemical Mixing Rates'!$G$19</f>
        <v>60</v>
      </c>
      <c r="J74" s="30">
        <f>'Chemical Mixing Rates'!$G$19</f>
        <v>60</v>
      </c>
      <c r="K74" s="30">
        <f>'Chemical Mixing Rates'!$G$19</f>
        <v>60</v>
      </c>
      <c r="L74" s="30">
        <f>'Chemical Mixing Rates'!$G$19</f>
        <v>60</v>
      </c>
      <c r="M74" s="30">
        <f>'Chemical Mixing Rates'!$G$19</f>
        <v>60</v>
      </c>
      <c r="N74" s="30">
        <f>'Chemical Mixing Rates'!$G$19</f>
        <v>60</v>
      </c>
      <c r="O74" s="30">
        <f>'Chemical Mixing Rates'!$G$19</f>
        <v>60</v>
      </c>
      <c r="P74" s="30">
        <f>'Chemical Mixing Rates'!$G$19</f>
        <v>60</v>
      </c>
      <c r="Q74" s="30">
        <f>'Chemical Mixing Rates'!$G$19</f>
        <v>60</v>
      </c>
      <c r="R74" s="30">
        <f>'Chemical Mixing Rates'!$G$19</f>
        <v>60</v>
      </c>
      <c r="S74" s="30">
        <f>'Chemical Mixing Rates'!$G$19</f>
        <v>60</v>
      </c>
      <c r="T74" s="30">
        <f>'Chemical Mixing Rates'!$G$19</f>
        <v>60</v>
      </c>
      <c r="U74" s="30">
        <f>'Chemical Mixing Rates'!$G$19</f>
        <v>60</v>
      </c>
      <c r="V74" s="30">
        <f>'Chemical Mixing Rates'!$G$19</f>
        <v>60</v>
      </c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</row>
    <row r="75" spans="1:101">
      <c r="A75" s="2" t="s">
        <v>86</v>
      </c>
      <c r="B75" s="99" t="str">
        <f>'Chemical Mixing Rates'!H20</f>
        <v>lbs/ac</v>
      </c>
      <c r="C75" s="30">
        <f>'Chemical Mixing Rates'!$G$20</f>
        <v>60</v>
      </c>
      <c r="D75" s="30">
        <f>'Chemical Mixing Rates'!$G$20</f>
        <v>60</v>
      </c>
      <c r="E75" s="30">
        <f>'Chemical Mixing Rates'!$G$20</f>
        <v>60</v>
      </c>
      <c r="F75" s="30">
        <f>'Chemical Mixing Rates'!$G$20</f>
        <v>60</v>
      </c>
      <c r="G75" s="30">
        <f>'Chemical Mixing Rates'!$G$20</f>
        <v>60</v>
      </c>
      <c r="H75" s="30">
        <f>'Chemical Mixing Rates'!$G$20</f>
        <v>60</v>
      </c>
      <c r="I75" s="30">
        <f>'Chemical Mixing Rates'!$G$20</f>
        <v>60</v>
      </c>
      <c r="J75" s="30">
        <f>'Chemical Mixing Rates'!$G$20</f>
        <v>60</v>
      </c>
      <c r="K75" s="30">
        <f>'Chemical Mixing Rates'!$G$20</f>
        <v>60</v>
      </c>
      <c r="L75" s="30">
        <f>'Chemical Mixing Rates'!$G$20</f>
        <v>60</v>
      </c>
      <c r="M75" s="30">
        <f>'Chemical Mixing Rates'!$G$20</f>
        <v>60</v>
      </c>
      <c r="N75" s="30">
        <f>'Chemical Mixing Rates'!$G$20</f>
        <v>60</v>
      </c>
      <c r="O75" s="30">
        <f>'Chemical Mixing Rates'!$G$20</f>
        <v>60</v>
      </c>
      <c r="P75" s="30">
        <f>'Chemical Mixing Rates'!$G$20</f>
        <v>60</v>
      </c>
      <c r="Q75" s="30">
        <f>'Chemical Mixing Rates'!$G$20</f>
        <v>60</v>
      </c>
      <c r="R75" s="30">
        <f>'Chemical Mixing Rates'!$G$20</f>
        <v>60</v>
      </c>
      <c r="S75" s="30">
        <f>'Chemical Mixing Rates'!$G$20</f>
        <v>60</v>
      </c>
      <c r="T75" s="30">
        <f>'Chemical Mixing Rates'!$G$20</f>
        <v>60</v>
      </c>
      <c r="U75" s="30">
        <f>'Chemical Mixing Rates'!$G$20</f>
        <v>60</v>
      </c>
      <c r="V75" s="30">
        <f>'Chemical Mixing Rates'!$G$20</f>
        <v>60</v>
      </c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</row>
    <row r="76" spans="1:101" s="1" customFormat="1" ht="15" thickBot="1">
      <c r="A76" s="6" t="s">
        <v>87</v>
      </c>
      <c r="B76" s="99" t="str">
        <f>'Chemical Mixing Rates'!H21</f>
        <v>lbs/ac</v>
      </c>
      <c r="C76" s="30">
        <f>'Chemical Mixing Rates'!$G$21</f>
        <v>0</v>
      </c>
      <c r="D76" s="30">
        <f>'Chemical Mixing Rates'!$G$21</f>
        <v>0</v>
      </c>
      <c r="E76" s="30">
        <f>'Chemical Mixing Rates'!$G$21</f>
        <v>0</v>
      </c>
      <c r="F76" s="30">
        <f>'Chemical Mixing Rates'!$G$21</f>
        <v>0</v>
      </c>
      <c r="G76" s="30">
        <f>'Chemical Mixing Rates'!$G$21</f>
        <v>0</v>
      </c>
      <c r="H76" s="30">
        <f>'Chemical Mixing Rates'!$G$21</f>
        <v>0</v>
      </c>
      <c r="I76" s="30">
        <f>'Chemical Mixing Rates'!$G$21</f>
        <v>0</v>
      </c>
      <c r="J76" s="30">
        <f>'Chemical Mixing Rates'!$G$21</f>
        <v>0</v>
      </c>
      <c r="K76" s="30">
        <f>'Chemical Mixing Rates'!$G$21</f>
        <v>0</v>
      </c>
      <c r="L76" s="30">
        <f>'Chemical Mixing Rates'!$G$21</f>
        <v>0</v>
      </c>
      <c r="M76" s="30">
        <f>'Chemical Mixing Rates'!$G$21</f>
        <v>0</v>
      </c>
      <c r="N76" s="30">
        <f>'Chemical Mixing Rates'!$G$21</f>
        <v>0</v>
      </c>
      <c r="O76" s="30">
        <f>'Chemical Mixing Rates'!$G$21</f>
        <v>0</v>
      </c>
      <c r="P76" s="30">
        <f>'Chemical Mixing Rates'!$G$21</f>
        <v>0</v>
      </c>
      <c r="Q76" s="30">
        <f>'Chemical Mixing Rates'!$G$21</f>
        <v>0</v>
      </c>
      <c r="R76" s="30">
        <f>'Chemical Mixing Rates'!$G$21</f>
        <v>0</v>
      </c>
      <c r="S76" s="30">
        <f>'Chemical Mixing Rates'!$G$21</f>
        <v>0</v>
      </c>
      <c r="T76" s="30">
        <f>'Chemical Mixing Rates'!$G$21</f>
        <v>0</v>
      </c>
      <c r="U76" s="30">
        <f>'Chemical Mixing Rates'!$G$21</f>
        <v>0</v>
      </c>
      <c r="V76" s="30">
        <f>'Chemical Mixing Rates'!$G$21</f>
        <v>0</v>
      </c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</row>
    <row r="77" spans="1:101" s="1" customFormat="1" ht="15" thickBot="1">
      <c r="A77" s="91" t="s">
        <v>92</v>
      </c>
      <c r="B77" s="92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</row>
    <row r="78" spans="1:101">
      <c r="A78" s="88" t="str">
        <f>'Chemical Mixing Rates'!F8</f>
        <v>Intrepid</v>
      </c>
      <c r="B78" s="99" t="str">
        <f>'Chemical Mixing Rates'!H8</f>
        <v>oz/ac</v>
      </c>
      <c r="C78" s="30">
        <f>'Chemical Mixing Rates'!$G$8</f>
        <v>6</v>
      </c>
      <c r="D78" s="30">
        <f>'Chemical Mixing Rates'!$G$8</f>
        <v>6</v>
      </c>
      <c r="E78" s="30">
        <f>'Chemical Mixing Rates'!$G$8</f>
        <v>6</v>
      </c>
      <c r="F78" s="30">
        <f>'Chemical Mixing Rates'!$G$8</f>
        <v>6</v>
      </c>
      <c r="G78" s="30">
        <f>'Chemical Mixing Rates'!$G$8</f>
        <v>6</v>
      </c>
      <c r="H78" s="30">
        <f>'Chemical Mixing Rates'!$G$8</f>
        <v>6</v>
      </c>
      <c r="I78" s="30">
        <f>'Chemical Mixing Rates'!$G$8</f>
        <v>6</v>
      </c>
      <c r="J78" s="30">
        <f>'Chemical Mixing Rates'!$G$8</f>
        <v>6</v>
      </c>
      <c r="K78" s="30">
        <f>'Chemical Mixing Rates'!$G$8</f>
        <v>6</v>
      </c>
      <c r="L78" s="30">
        <f>'Chemical Mixing Rates'!$G$8</f>
        <v>6</v>
      </c>
      <c r="M78" s="30">
        <f>'Chemical Mixing Rates'!$G$8</f>
        <v>6</v>
      </c>
      <c r="N78" s="30">
        <f>'Chemical Mixing Rates'!$G$8</f>
        <v>6</v>
      </c>
      <c r="O78" s="30">
        <f>'Chemical Mixing Rates'!$G$8</f>
        <v>6</v>
      </c>
      <c r="P78" s="30">
        <f>'Chemical Mixing Rates'!$G$8</f>
        <v>6</v>
      </c>
      <c r="Q78" s="30">
        <f>'Chemical Mixing Rates'!$G$8</f>
        <v>6</v>
      </c>
      <c r="R78" s="30">
        <f>'Chemical Mixing Rates'!$G$8</f>
        <v>6</v>
      </c>
      <c r="S78" s="30">
        <f>'Chemical Mixing Rates'!$G$8</f>
        <v>6</v>
      </c>
      <c r="T78" s="30">
        <f>'Chemical Mixing Rates'!$G$8</f>
        <v>6</v>
      </c>
      <c r="U78" s="30">
        <f>'Chemical Mixing Rates'!$G$8</f>
        <v>6</v>
      </c>
      <c r="V78" s="30">
        <f>'Chemical Mixing Rates'!$G$8</f>
        <v>6</v>
      </c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</row>
    <row r="79" spans="1:101">
      <c r="A79" s="88" t="str">
        <f>'Chemical Mixing Rates'!F9</f>
        <v>Sevin</v>
      </c>
      <c r="B79" s="99" t="str">
        <f>'Chemical Mixing Rates'!H9</f>
        <v>lbs/ac</v>
      </c>
      <c r="C79" s="30">
        <f>'Chemical Mixing Rates'!$G$9</f>
        <v>5</v>
      </c>
      <c r="D79" s="30">
        <f>'Chemical Mixing Rates'!$G$9</f>
        <v>5</v>
      </c>
      <c r="E79" s="30">
        <f>'Chemical Mixing Rates'!$G$9</f>
        <v>5</v>
      </c>
      <c r="F79" s="30">
        <f>'Chemical Mixing Rates'!$G$9</f>
        <v>5</v>
      </c>
      <c r="G79" s="30">
        <f>'Chemical Mixing Rates'!$G$9</f>
        <v>5</v>
      </c>
      <c r="H79" s="30">
        <f>'Chemical Mixing Rates'!$G$9</f>
        <v>5</v>
      </c>
      <c r="I79" s="30">
        <f>'Chemical Mixing Rates'!$G$9</f>
        <v>5</v>
      </c>
      <c r="J79" s="30">
        <f>'Chemical Mixing Rates'!$G$9</f>
        <v>5</v>
      </c>
      <c r="K79" s="30">
        <f>'Chemical Mixing Rates'!$G$9</f>
        <v>5</v>
      </c>
      <c r="L79" s="30">
        <f>'Chemical Mixing Rates'!$G$9</f>
        <v>5</v>
      </c>
      <c r="M79" s="30">
        <f>'Chemical Mixing Rates'!$G$9</f>
        <v>5</v>
      </c>
      <c r="N79" s="30">
        <f>'Chemical Mixing Rates'!$G$9</f>
        <v>5</v>
      </c>
      <c r="O79" s="30">
        <f>'Chemical Mixing Rates'!$G$9</f>
        <v>5</v>
      </c>
      <c r="P79" s="30">
        <f>'Chemical Mixing Rates'!$G$9</f>
        <v>5</v>
      </c>
      <c r="Q79" s="30">
        <f>'Chemical Mixing Rates'!$G$9</f>
        <v>5</v>
      </c>
      <c r="R79" s="30">
        <f>'Chemical Mixing Rates'!$G$9</f>
        <v>5</v>
      </c>
      <c r="S79" s="30">
        <f>'Chemical Mixing Rates'!$G$9</f>
        <v>5</v>
      </c>
      <c r="T79" s="30">
        <f>'Chemical Mixing Rates'!$G$9</f>
        <v>5</v>
      </c>
      <c r="U79" s="30">
        <f>'Chemical Mixing Rates'!$G$9</f>
        <v>5</v>
      </c>
      <c r="V79" s="30">
        <f>'Chemical Mixing Rates'!$G$9</f>
        <v>5</v>
      </c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</row>
    <row r="80" spans="1:101">
      <c r="A80" s="88" t="str">
        <f>'Chemical Mixing Rates'!F10</f>
        <v>Warrior 2</v>
      </c>
      <c r="B80" s="99" t="str">
        <f>'Chemical Mixing Rates'!H10</f>
        <v>oz/ac</v>
      </c>
      <c r="C80" s="30">
        <f>'Chemical Mixing Rates'!$G$10</f>
        <v>6</v>
      </c>
      <c r="D80" s="30">
        <f>'Chemical Mixing Rates'!$G$10</f>
        <v>6</v>
      </c>
      <c r="E80" s="30">
        <f>'Chemical Mixing Rates'!$G$10</f>
        <v>6</v>
      </c>
      <c r="F80" s="30">
        <f>'Chemical Mixing Rates'!$G$10</f>
        <v>6</v>
      </c>
      <c r="G80" s="30">
        <f>'Chemical Mixing Rates'!$G$10</f>
        <v>6</v>
      </c>
      <c r="H80" s="30">
        <f>'Chemical Mixing Rates'!$G$10</f>
        <v>6</v>
      </c>
      <c r="I80" s="30">
        <f>'Chemical Mixing Rates'!$G$10</f>
        <v>6</v>
      </c>
      <c r="J80" s="30">
        <f>'Chemical Mixing Rates'!$G$10</f>
        <v>6</v>
      </c>
      <c r="K80" s="30">
        <f>'Chemical Mixing Rates'!$G$10</f>
        <v>6</v>
      </c>
      <c r="L80" s="30">
        <f>'Chemical Mixing Rates'!$G$10</f>
        <v>6</v>
      </c>
      <c r="M80" s="30">
        <f>'Chemical Mixing Rates'!$G$10</f>
        <v>6</v>
      </c>
      <c r="N80" s="30">
        <f>'Chemical Mixing Rates'!$G$10</f>
        <v>6</v>
      </c>
      <c r="O80" s="30">
        <f>'Chemical Mixing Rates'!$G$10</f>
        <v>6</v>
      </c>
      <c r="P80" s="30">
        <f>'Chemical Mixing Rates'!$G$10</f>
        <v>6</v>
      </c>
      <c r="Q80" s="30">
        <f>'Chemical Mixing Rates'!$G$10</f>
        <v>6</v>
      </c>
      <c r="R80" s="30">
        <f>'Chemical Mixing Rates'!$G$10</f>
        <v>6</v>
      </c>
      <c r="S80" s="30">
        <f>'Chemical Mixing Rates'!$G$10</f>
        <v>6</v>
      </c>
      <c r="T80" s="30">
        <f>'Chemical Mixing Rates'!$G$10</f>
        <v>6</v>
      </c>
      <c r="U80" s="30">
        <f>'Chemical Mixing Rates'!$G$10</f>
        <v>6</v>
      </c>
      <c r="V80" s="30">
        <f>'Chemical Mixing Rates'!$G$10</f>
        <v>6</v>
      </c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</row>
    <row r="81" spans="1:93" s="1" customFormat="1" ht="15" thickBot="1">
      <c r="A81" s="88" t="str">
        <f>'Chemical Mixing Rates'!F11</f>
        <v>Lambesi</v>
      </c>
      <c r="B81" s="99" t="str">
        <f>'Chemical Mixing Rates'!H11</f>
        <v>oz/ac</v>
      </c>
      <c r="C81" s="30">
        <f>'Chemical Mixing Rates'!G11</f>
        <v>4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08">
        <v>0</v>
      </c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</row>
    <row r="82" spans="1:93" s="1" customFormat="1" ht="15" thickBot="1">
      <c r="A82" s="91" t="s">
        <v>23</v>
      </c>
      <c r="B82" s="92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</row>
    <row r="83" spans="1:93">
      <c r="A83" s="37" t="s">
        <v>186</v>
      </c>
      <c r="B83" s="71" t="s">
        <v>185</v>
      </c>
      <c r="C83" s="30">
        <v>1</v>
      </c>
      <c r="D83" s="30">
        <v>1</v>
      </c>
      <c r="E83" s="30">
        <v>1</v>
      </c>
      <c r="F83" s="30">
        <v>1</v>
      </c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0"/>
      <c r="U83" s="32"/>
      <c r="V83" s="105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</row>
    <row r="84" spans="1:93">
      <c r="A84" s="37" t="s">
        <v>187</v>
      </c>
      <c r="B84" s="72" t="s">
        <v>185</v>
      </c>
      <c r="C84" s="11"/>
      <c r="D84" s="11"/>
      <c r="E84" s="11"/>
      <c r="F84" s="11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11">
        <v>1</v>
      </c>
      <c r="U84" s="29"/>
      <c r="V84" s="10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</row>
    <row r="85" spans="1:93">
      <c r="A85" s="37" t="s">
        <v>111</v>
      </c>
      <c r="B85" s="72" t="s">
        <v>191</v>
      </c>
      <c r="C85" s="196">
        <v>5</v>
      </c>
      <c r="D85" s="11">
        <f>$C$85</f>
        <v>5</v>
      </c>
      <c r="E85" s="11">
        <f t="shared" ref="E85:V85" si="19">$C$85</f>
        <v>5</v>
      </c>
      <c r="F85" s="11">
        <f t="shared" si="19"/>
        <v>5</v>
      </c>
      <c r="G85" s="11">
        <f t="shared" si="19"/>
        <v>5</v>
      </c>
      <c r="H85" s="11">
        <f t="shared" si="19"/>
        <v>5</v>
      </c>
      <c r="I85" s="11">
        <f t="shared" si="19"/>
        <v>5</v>
      </c>
      <c r="J85" s="11">
        <f t="shared" si="19"/>
        <v>5</v>
      </c>
      <c r="K85" s="11">
        <f t="shared" si="19"/>
        <v>5</v>
      </c>
      <c r="L85" s="11">
        <f t="shared" si="19"/>
        <v>5</v>
      </c>
      <c r="M85" s="11">
        <f t="shared" si="19"/>
        <v>5</v>
      </c>
      <c r="N85" s="11">
        <f t="shared" si="19"/>
        <v>5</v>
      </c>
      <c r="O85" s="11">
        <f t="shared" si="19"/>
        <v>5</v>
      </c>
      <c r="P85" s="11">
        <f t="shared" si="19"/>
        <v>5</v>
      </c>
      <c r="Q85" s="11">
        <f t="shared" si="19"/>
        <v>5</v>
      </c>
      <c r="R85" s="11">
        <f t="shared" si="19"/>
        <v>5</v>
      </c>
      <c r="S85" s="11">
        <f t="shared" si="19"/>
        <v>5</v>
      </c>
      <c r="T85" s="11">
        <f t="shared" si="19"/>
        <v>5</v>
      </c>
      <c r="U85" s="11">
        <f t="shared" si="19"/>
        <v>5</v>
      </c>
      <c r="V85" s="11">
        <f t="shared" si="19"/>
        <v>5</v>
      </c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</row>
    <row r="86" spans="1:93">
      <c r="A86" s="37" t="s">
        <v>211</v>
      </c>
      <c r="B86" s="72" t="s">
        <v>212</v>
      </c>
      <c r="C86" s="11">
        <f>SUM('Chemical Mixing Rates'!$M$8:$M$17,'Chemical Mixing Rates'!$M$19:$M$21)</f>
        <v>18</v>
      </c>
      <c r="D86" s="11">
        <f>SUM('Chemical Mixing Rates'!$M$8:$M$17,'Chemical Mixing Rates'!$M$19:$M$21)</f>
        <v>18</v>
      </c>
      <c r="E86" s="11">
        <f>SUM('Chemical Mixing Rates'!$M$8:$M$17,'Chemical Mixing Rates'!$M$19:$M$21)</f>
        <v>18</v>
      </c>
      <c r="F86" s="11">
        <f>SUM('Chemical Mixing Rates'!$M$8:$M$17,'Chemical Mixing Rates'!$M$19:$M$21)</f>
        <v>18</v>
      </c>
      <c r="G86" s="11">
        <f>SUM('Chemical Mixing Rates'!$M$8:$M$16,'Chemical Mixing Rates'!$M$18:$M$21)</f>
        <v>13</v>
      </c>
      <c r="H86" s="11">
        <f>SUM('Chemical Mixing Rates'!$M$8:$M$16,'Chemical Mixing Rates'!$M$18:$M$21)</f>
        <v>13</v>
      </c>
      <c r="I86" s="11">
        <f>SUM('Chemical Mixing Rates'!$M$8:$M$16,'Chemical Mixing Rates'!$M$18:$M$21)</f>
        <v>13</v>
      </c>
      <c r="J86" s="11">
        <f>SUM('Chemical Mixing Rates'!$M$8:$M$16,'Chemical Mixing Rates'!$M$18:$M$21)</f>
        <v>13</v>
      </c>
      <c r="K86" s="11">
        <f>SUM('Chemical Mixing Rates'!$M$8:$M$16,'Chemical Mixing Rates'!$M$18:$M$21)</f>
        <v>13</v>
      </c>
      <c r="L86" s="11">
        <f>SUM('Chemical Mixing Rates'!$M$8:$M$16,'Chemical Mixing Rates'!$M$18:$M$21)</f>
        <v>13</v>
      </c>
      <c r="M86" s="11">
        <f>SUM('Chemical Mixing Rates'!$M$8:$M$16,'Chemical Mixing Rates'!$M$18:$M$21)</f>
        <v>13</v>
      </c>
      <c r="N86" s="11">
        <f>SUM('Chemical Mixing Rates'!$M$8:$M$16,'Chemical Mixing Rates'!$M$18:$M$21)</f>
        <v>13</v>
      </c>
      <c r="O86" s="11">
        <f>SUM('Chemical Mixing Rates'!$M$8:$M$16,'Chemical Mixing Rates'!$M$18:$M$21)</f>
        <v>13</v>
      </c>
      <c r="P86" s="11">
        <f>SUM('Chemical Mixing Rates'!$M$8:$M$16,'Chemical Mixing Rates'!$M$18:$M$21)</f>
        <v>13</v>
      </c>
      <c r="Q86" s="11">
        <f>SUM('Chemical Mixing Rates'!$M$8:$M$16,'Chemical Mixing Rates'!$M$18:$M$21)</f>
        <v>13</v>
      </c>
      <c r="R86" s="11">
        <f>SUM('Chemical Mixing Rates'!$M$8:$M$16,'Chemical Mixing Rates'!$M$18:$M$21)</f>
        <v>13</v>
      </c>
      <c r="S86" s="11">
        <f>SUM('Chemical Mixing Rates'!$M$8:$M$16,'Chemical Mixing Rates'!$M$18:$M$21)</f>
        <v>13</v>
      </c>
      <c r="T86" s="11">
        <f>SUM('Chemical Mixing Rates'!$M$8:$M$16,'Chemical Mixing Rates'!$M$18:$M$21)</f>
        <v>13</v>
      </c>
      <c r="U86" s="11">
        <f>SUM('Chemical Mixing Rates'!$M$8:$M$16,'Chemical Mixing Rates'!$M$18:$M$21)</f>
        <v>13</v>
      </c>
      <c r="V86" s="11">
        <f>SUM('Chemical Mixing Rates'!$M$8:$M$16,'Chemical Mixing Rates'!$M$18:$M$21)</f>
        <v>13</v>
      </c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</row>
    <row r="87" spans="1:93" s="5" customFormat="1" ht="15" thickBot="1">
      <c r="A87" s="91" t="s">
        <v>24</v>
      </c>
      <c r="B87" s="8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</row>
    <row r="88" spans="1:93">
      <c r="A88" s="37" t="s">
        <v>188</v>
      </c>
      <c r="B88" s="30"/>
      <c r="C88" s="30"/>
      <c r="D88" s="30"/>
      <c r="E88" s="30"/>
      <c r="F88" s="30">
        <f>IF('Budget Display'!$D$5&lt;21,1,IF('Budget Display'!$D$5&lt;=100,2,IF('Budget Display'!$D$5&gt;100,4,)))</f>
        <v>2</v>
      </c>
      <c r="G88" s="30">
        <f>IF('Budget Display'!$D$5&lt;21,1,IF('Budget Display'!$D$5&lt;=100,2,IF('Budget Display'!$D$5&gt;100,4,)))</f>
        <v>2</v>
      </c>
      <c r="H88" s="30">
        <f>IF('Budget Display'!$D$5&lt;21,1,IF('Budget Display'!$D$5&lt;=100,2,IF('Budget Display'!$D$5&gt;100,4,)))</f>
        <v>2</v>
      </c>
      <c r="I88" s="30">
        <f>IF('Budget Display'!$D$5&lt;21,1,IF('Budget Display'!$D$5&lt;=100,2,IF('Budget Display'!$D$5&gt;100,4,)))</f>
        <v>2</v>
      </c>
      <c r="J88" s="30">
        <f>IF('Budget Display'!$D$5&lt;21,1,IF('Budget Display'!$D$5&lt;=100,2,IF('Budget Display'!$D$5&gt;100,4,)))</f>
        <v>2</v>
      </c>
      <c r="K88" s="30">
        <f>IF('Budget Display'!$D$5&lt;21,1,IF('Budget Display'!$D$5&lt;=100,2,IF('Budget Display'!$D$5&gt;100,4,)))</f>
        <v>2</v>
      </c>
      <c r="L88" s="30">
        <f>IF('Budget Display'!$D$5&lt;21,1,IF('Budget Display'!$D$5&lt;=100,2,IF('Budget Display'!$D$5&gt;100,4,)))</f>
        <v>2</v>
      </c>
      <c r="M88" s="30">
        <f>IF('Budget Display'!$D$5&lt;21,1,IF('Budget Display'!$D$5&lt;=100,2,IF('Budget Display'!$D$5&gt;100,4,)))</f>
        <v>2</v>
      </c>
      <c r="N88" s="30">
        <f>IF('Budget Display'!$D$5&lt;21,1,IF('Budget Display'!$D$5&lt;=100,2,IF('Budget Display'!$D$5&gt;100,4,)))</f>
        <v>2</v>
      </c>
      <c r="O88" s="30">
        <f>IF('Budget Display'!$D$5&lt;21,1,IF('Budget Display'!$D$5&lt;=100,2,IF('Budget Display'!$D$5&gt;100,4,)))</f>
        <v>2</v>
      </c>
      <c r="P88" s="30">
        <f>IF('Budget Display'!$D$5&lt;21,1,IF('Budget Display'!$D$5&lt;=100,2,IF('Budget Display'!$D$5&gt;100,4,)))</f>
        <v>2</v>
      </c>
      <c r="Q88" s="30">
        <f>IF('Budget Display'!$D$5&lt;21,1,IF('Budget Display'!$D$5&lt;=100,2,IF('Budget Display'!$D$5&gt;100,4,)))</f>
        <v>2</v>
      </c>
      <c r="R88" s="30">
        <f>IF('Budget Display'!$D$5&lt;21,1,IF('Budget Display'!$D$5&lt;=100,2,IF('Budget Display'!$D$5&gt;100,4,)))</f>
        <v>2</v>
      </c>
      <c r="S88" s="30">
        <f>IF('Budget Display'!$D$5&lt;21,1,IF('Budget Display'!$D$5&lt;=100,2,IF('Budget Display'!$D$5&gt;100,4,)))</f>
        <v>2</v>
      </c>
      <c r="T88" s="30">
        <f>IF('Budget Display'!$D$5&lt;21,1,IF('Budget Display'!$D$5&lt;=100,2,IF('Budget Display'!$D$5&gt;100,4,)))</f>
        <v>2</v>
      </c>
      <c r="U88" s="30">
        <f>IF('Budget Display'!$D$5&lt;21,1,IF('Budget Display'!$D$5&lt;=100,2,IF('Budget Display'!$D$5&gt;100,4,)))</f>
        <v>2</v>
      </c>
      <c r="V88" s="30">
        <f>IF('Budget Display'!$D$5&lt;21,1,IF('Budget Display'!$D$5&lt;=100,2,IF('Budget Display'!$D$5&gt;100,4,)))</f>
        <v>2</v>
      </c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</row>
    <row r="89" spans="1:93">
      <c r="A89" s="37" t="s">
        <v>189</v>
      </c>
      <c r="B89" s="30">
        <f>IF('Budget Display'!D5&lt;21,2,IF('Budget Display'!D5&lt;99,4,IF('Budget Display'!D5&gt;99,6,"")))</f>
        <v>6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105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</row>
    <row r="90" spans="1:93">
      <c r="A90" s="37" t="s">
        <v>190</v>
      </c>
      <c r="B90" s="11">
        <f>IF('Budget Display'!D5&lt;21,4,IF('Budget Display'!D5&lt;99,6,IF('Budget Display'!D5&gt;99,8)))</f>
        <v>8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10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</row>
    <row r="91" spans="1:93" s="1" customFormat="1" ht="16" thickBot="1">
      <c r="A91" s="97" t="s">
        <v>33</v>
      </c>
      <c r="B91" s="8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</row>
    <row r="92" spans="1:93" s="3" customFormat="1" ht="15" thickBot="1">
      <c r="A92" s="96" t="s">
        <v>7</v>
      </c>
      <c r="B92" s="54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98"/>
      <c r="CA92" s="98"/>
      <c r="CB92" s="98"/>
      <c r="CC92" s="98"/>
      <c r="CD92" s="98"/>
      <c r="CE92" s="98"/>
      <c r="CF92" s="98"/>
      <c r="CG92" s="98"/>
      <c r="CH92" s="98"/>
      <c r="CI92" s="98"/>
      <c r="CJ92" s="98"/>
      <c r="CK92" s="98"/>
      <c r="CL92" s="98"/>
      <c r="CM92" s="98"/>
      <c r="CN92" s="98"/>
      <c r="CO92" s="98"/>
    </row>
    <row r="93" spans="1:93">
      <c r="A93" s="37" t="s">
        <v>168</v>
      </c>
      <c r="B93" s="30" t="s">
        <v>185</v>
      </c>
      <c r="C93" s="32"/>
      <c r="D93" s="32"/>
      <c r="E93" s="32"/>
      <c r="F93" s="30">
        <v>1</v>
      </c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105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</row>
    <row r="94" spans="1:93" s="1" customFormat="1" ht="15" thickBot="1">
      <c r="A94" s="91" t="s">
        <v>25</v>
      </c>
      <c r="B94" s="8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</row>
    <row r="95" spans="1:93">
      <c r="A95" s="37" t="s">
        <v>207</v>
      </c>
      <c r="B95" s="30" t="s">
        <v>185</v>
      </c>
      <c r="C95" s="197">
        <v>0.2</v>
      </c>
      <c r="D95" s="30">
        <f>$C$95</f>
        <v>0.2</v>
      </c>
      <c r="E95" s="30">
        <f t="shared" ref="E95:V95" si="20">$C$95</f>
        <v>0.2</v>
      </c>
      <c r="F95" s="30">
        <f t="shared" si="20"/>
        <v>0.2</v>
      </c>
      <c r="G95" s="30">
        <f t="shared" si="20"/>
        <v>0.2</v>
      </c>
      <c r="H95" s="30">
        <f t="shared" si="20"/>
        <v>0.2</v>
      </c>
      <c r="I95" s="30">
        <f t="shared" si="20"/>
        <v>0.2</v>
      </c>
      <c r="J95" s="30">
        <f t="shared" si="20"/>
        <v>0.2</v>
      </c>
      <c r="K95" s="30">
        <f t="shared" si="20"/>
        <v>0.2</v>
      </c>
      <c r="L95" s="30">
        <f t="shared" si="20"/>
        <v>0.2</v>
      </c>
      <c r="M95" s="30">
        <f t="shared" si="20"/>
        <v>0.2</v>
      </c>
      <c r="N95" s="30">
        <f t="shared" si="20"/>
        <v>0.2</v>
      </c>
      <c r="O95" s="30">
        <f t="shared" si="20"/>
        <v>0.2</v>
      </c>
      <c r="P95" s="30">
        <f t="shared" si="20"/>
        <v>0.2</v>
      </c>
      <c r="Q95" s="30">
        <f t="shared" si="20"/>
        <v>0.2</v>
      </c>
      <c r="R95" s="30">
        <f t="shared" si="20"/>
        <v>0.2</v>
      </c>
      <c r="S95" s="30">
        <f t="shared" si="20"/>
        <v>0.2</v>
      </c>
      <c r="T95" s="30">
        <f t="shared" si="20"/>
        <v>0.2</v>
      </c>
      <c r="U95" s="30">
        <f t="shared" si="20"/>
        <v>0.2</v>
      </c>
      <c r="V95" s="30">
        <f t="shared" si="20"/>
        <v>0.2</v>
      </c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</row>
    <row r="96" spans="1:93">
      <c r="A96" s="37" t="s">
        <v>203</v>
      </c>
      <c r="B96" s="30" t="s">
        <v>185</v>
      </c>
      <c r="C96" s="196">
        <v>0.25</v>
      </c>
      <c r="D96" s="11">
        <f>$C$96</f>
        <v>0.25</v>
      </c>
      <c r="E96" s="11">
        <f t="shared" ref="E96:V96" si="21">$C$96</f>
        <v>0.25</v>
      </c>
      <c r="F96" s="11">
        <f t="shared" si="21"/>
        <v>0.25</v>
      </c>
      <c r="G96" s="11">
        <f t="shared" si="21"/>
        <v>0.25</v>
      </c>
      <c r="H96" s="11">
        <f t="shared" si="21"/>
        <v>0.25</v>
      </c>
      <c r="I96" s="11">
        <f t="shared" si="21"/>
        <v>0.25</v>
      </c>
      <c r="J96" s="11">
        <f t="shared" si="21"/>
        <v>0.25</v>
      </c>
      <c r="K96" s="11">
        <f t="shared" si="21"/>
        <v>0.25</v>
      </c>
      <c r="L96" s="11">
        <f t="shared" si="21"/>
        <v>0.25</v>
      </c>
      <c r="M96" s="11">
        <f t="shared" si="21"/>
        <v>0.25</v>
      </c>
      <c r="N96" s="11">
        <f t="shared" si="21"/>
        <v>0.25</v>
      </c>
      <c r="O96" s="11">
        <f t="shared" si="21"/>
        <v>0.25</v>
      </c>
      <c r="P96" s="11">
        <f t="shared" si="21"/>
        <v>0.25</v>
      </c>
      <c r="Q96" s="11">
        <f t="shared" si="21"/>
        <v>0.25</v>
      </c>
      <c r="R96" s="11">
        <f t="shared" si="21"/>
        <v>0.25</v>
      </c>
      <c r="S96" s="11">
        <f t="shared" si="21"/>
        <v>0.25</v>
      </c>
      <c r="T96" s="11">
        <f t="shared" si="21"/>
        <v>0.25</v>
      </c>
      <c r="U96" s="11">
        <f t="shared" si="21"/>
        <v>0.25</v>
      </c>
      <c r="V96" s="11">
        <f t="shared" si="21"/>
        <v>0.25</v>
      </c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</row>
    <row r="97" spans="1:93">
      <c r="A97" s="37" t="s">
        <v>204</v>
      </c>
      <c r="B97" s="30" t="s">
        <v>185</v>
      </c>
      <c r="C97" s="196">
        <v>0.25</v>
      </c>
      <c r="D97" s="11">
        <f>$C$97</f>
        <v>0.25</v>
      </c>
      <c r="E97" s="11">
        <f t="shared" ref="E97:V97" si="22">$C$97</f>
        <v>0.25</v>
      </c>
      <c r="F97" s="11">
        <f t="shared" si="22"/>
        <v>0.25</v>
      </c>
      <c r="G97" s="11">
        <f t="shared" si="22"/>
        <v>0.25</v>
      </c>
      <c r="H97" s="11">
        <f t="shared" si="22"/>
        <v>0.25</v>
      </c>
      <c r="I97" s="11">
        <f t="shared" si="22"/>
        <v>0.25</v>
      </c>
      <c r="J97" s="11">
        <f t="shared" si="22"/>
        <v>0.25</v>
      </c>
      <c r="K97" s="11">
        <f t="shared" si="22"/>
        <v>0.25</v>
      </c>
      <c r="L97" s="11">
        <f t="shared" si="22"/>
        <v>0.25</v>
      </c>
      <c r="M97" s="11">
        <f t="shared" si="22"/>
        <v>0.25</v>
      </c>
      <c r="N97" s="11">
        <f t="shared" si="22"/>
        <v>0.25</v>
      </c>
      <c r="O97" s="11">
        <f t="shared" si="22"/>
        <v>0.25</v>
      </c>
      <c r="P97" s="11">
        <f t="shared" si="22"/>
        <v>0.25</v>
      </c>
      <c r="Q97" s="11">
        <f t="shared" si="22"/>
        <v>0.25</v>
      </c>
      <c r="R97" s="11">
        <f t="shared" si="22"/>
        <v>0.25</v>
      </c>
      <c r="S97" s="11">
        <f t="shared" si="22"/>
        <v>0.25</v>
      </c>
      <c r="T97" s="11">
        <f t="shared" si="22"/>
        <v>0.25</v>
      </c>
      <c r="U97" s="11">
        <f t="shared" si="22"/>
        <v>0.25</v>
      </c>
      <c r="V97" s="11">
        <f t="shared" si="22"/>
        <v>0.25</v>
      </c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</row>
    <row r="98" spans="1:93">
      <c r="A98" s="37" t="s">
        <v>205</v>
      </c>
      <c r="B98" s="30" t="s">
        <v>185</v>
      </c>
      <c r="C98" s="196">
        <v>1</v>
      </c>
      <c r="D98" s="11">
        <f>$C$98</f>
        <v>1</v>
      </c>
      <c r="E98" s="11">
        <f t="shared" ref="E98:V98" si="23">$C$98</f>
        <v>1</v>
      </c>
      <c r="F98" s="11">
        <f t="shared" si="23"/>
        <v>1</v>
      </c>
      <c r="G98" s="11">
        <f t="shared" si="23"/>
        <v>1</v>
      </c>
      <c r="H98" s="11">
        <f t="shared" si="23"/>
        <v>1</v>
      </c>
      <c r="I98" s="11">
        <f t="shared" si="23"/>
        <v>1</v>
      </c>
      <c r="J98" s="11">
        <f t="shared" si="23"/>
        <v>1</v>
      </c>
      <c r="K98" s="11">
        <f t="shared" si="23"/>
        <v>1</v>
      </c>
      <c r="L98" s="11">
        <f t="shared" si="23"/>
        <v>1</v>
      </c>
      <c r="M98" s="11">
        <f t="shared" si="23"/>
        <v>1</v>
      </c>
      <c r="N98" s="11">
        <f t="shared" si="23"/>
        <v>1</v>
      </c>
      <c r="O98" s="11">
        <f t="shared" si="23"/>
        <v>1</v>
      </c>
      <c r="P98" s="11">
        <f t="shared" si="23"/>
        <v>1</v>
      </c>
      <c r="Q98" s="11">
        <f t="shared" si="23"/>
        <v>1</v>
      </c>
      <c r="R98" s="11">
        <f t="shared" si="23"/>
        <v>1</v>
      </c>
      <c r="S98" s="11">
        <f t="shared" si="23"/>
        <v>1</v>
      </c>
      <c r="T98" s="11">
        <f t="shared" si="23"/>
        <v>1</v>
      </c>
      <c r="U98" s="11">
        <f t="shared" si="23"/>
        <v>1</v>
      </c>
      <c r="V98" s="11">
        <f t="shared" si="23"/>
        <v>1</v>
      </c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</row>
    <row r="99" spans="1:93">
      <c r="A99" s="37" t="s">
        <v>206</v>
      </c>
      <c r="B99" s="30" t="s">
        <v>185</v>
      </c>
      <c r="C99" s="196">
        <v>0.75</v>
      </c>
      <c r="D99" s="11">
        <f>$C$99</f>
        <v>0.75</v>
      </c>
      <c r="E99" s="11">
        <f t="shared" ref="E99:V99" si="24">$C$99</f>
        <v>0.75</v>
      </c>
      <c r="F99" s="11">
        <f t="shared" si="24"/>
        <v>0.75</v>
      </c>
      <c r="G99" s="11">
        <f t="shared" si="24"/>
        <v>0.75</v>
      </c>
      <c r="H99" s="11">
        <f t="shared" si="24"/>
        <v>0.75</v>
      </c>
      <c r="I99" s="11">
        <f t="shared" si="24"/>
        <v>0.75</v>
      </c>
      <c r="J99" s="11">
        <f t="shared" si="24"/>
        <v>0.75</v>
      </c>
      <c r="K99" s="11">
        <f t="shared" si="24"/>
        <v>0.75</v>
      </c>
      <c r="L99" s="11">
        <f t="shared" si="24"/>
        <v>0.75</v>
      </c>
      <c r="M99" s="11">
        <f t="shared" si="24"/>
        <v>0.75</v>
      </c>
      <c r="N99" s="11">
        <f t="shared" si="24"/>
        <v>0.75</v>
      </c>
      <c r="O99" s="11">
        <f t="shared" si="24"/>
        <v>0.75</v>
      </c>
      <c r="P99" s="11">
        <f t="shared" si="24"/>
        <v>0.75</v>
      </c>
      <c r="Q99" s="11">
        <f t="shared" si="24"/>
        <v>0.75</v>
      </c>
      <c r="R99" s="11">
        <f t="shared" si="24"/>
        <v>0.75</v>
      </c>
      <c r="S99" s="11">
        <f t="shared" si="24"/>
        <v>0.75</v>
      </c>
      <c r="T99" s="11">
        <f t="shared" si="24"/>
        <v>0.75</v>
      </c>
      <c r="U99" s="11">
        <f t="shared" si="24"/>
        <v>0.75</v>
      </c>
      <c r="V99" s="11">
        <f t="shared" si="24"/>
        <v>0.75</v>
      </c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</row>
    <row r="100" spans="1:93">
      <c r="A100" s="37" t="s">
        <v>120</v>
      </c>
      <c r="B100" s="11" t="s">
        <v>219</v>
      </c>
      <c r="C100" s="196">
        <v>1</v>
      </c>
      <c r="D100" s="11"/>
      <c r="E100" s="11"/>
      <c r="F100" s="11"/>
      <c r="G100" s="11">
        <v>1</v>
      </c>
      <c r="H100" s="11"/>
      <c r="I100" s="11"/>
      <c r="J100" s="11"/>
      <c r="K100" s="11"/>
      <c r="L100" s="11">
        <v>1</v>
      </c>
      <c r="M100" s="11"/>
      <c r="N100" s="11"/>
      <c r="O100" s="11"/>
      <c r="P100" s="11"/>
      <c r="Q100" s="11">
        <v>1</v>
      </c>
      <c r="R100" s="11"/>
      <c r="S100" s="11"/>
      <c r="T100" s="11"/>
      <c r="U100" s="11"/>
      <c r="V100" s="11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</row>
    <row r="101" spans="1:93" s="1" customFormat="1" ht="16" thickBot="1">
      <c r="A101" s="97" t="s">
        <v>35</v>
      </c>
      <c r="B101" s="8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</row>
    <row r="102" spans="1:93">
      <c r="A102" s="88" t="str">
        <f>IF('Budget Display'!D6="Owned","Taxes","Rent Expense")</f>
        <v>Taxes</v>
      </c>
      <c r="B102" s="11" t="s">
        <v>118</v>
      </c>
      <c r="C102" s="44">
        <f>'Budget Display'!$K$5</f>
        <v>25</v>
      </c>
      <c r="D102" s="44">
        <f>'Budget Display'!$K$5</f>
        <v>25</v>
      </c>
      <c r="E102" s="44">
        <f>'Budget Display'!$K$5</f>
        <v>25</v>
      </c>
      <c r="F102" s="44">
        <f>'Budget Display'!$K$5</f>
        <v>25</v>
      </c>
      <c r="G102" s="44">
        <f>'Budget Display'!$K$5</f>
        <v>25</v>
      </c>
      <c r="H102" s="44">
        <f>'Budget Display'!$K$5</f>
        <v>25</v>
      </c>
      <c r="I102" s="44">
        <f>'Budget Display'!$K$5</f>
        <v>25</v>
      </c>
      <c r="J102" s="44">
        <f>'Budget Display'!$K$5</f>
        <v>25</v>
      </c>
      <c r="K102" s="44">
        <f>'Budget Display'!$K$5</f>
        <v>25</v>
      </c>
      <c r="L102" s="44">
        <f>'Budget Display'!$K$5</f>
        <v>25</v>
      </c>
      <c r="M102" s="44">
        <f>'Budget Display'!$K$5</f>
        <v>25</v>
      </c>
      <c r="N102" s="44">
        <f>'Budget Display'!$K$5</f>
        <v>25</v>
      </c>
      <c r="O102" s="44">
        <f>'Budget Display'!$K$5</f>
        <v>25</v>
      </c>
      <c r="P102" s="44">
        <f>'Budget Display'!$K$5</f>
        <v>25</v>
      </c>
      <c r="Q102" s="44">
        <f>'Budget Display'!$K$5</f>
        <v>25</v>
      </c>
      <c r="R102" s="44">
        <f>'Budget Display'!$K$5</f>
        <v>25</v>
      </c>
      <c r="S102" s="44">
        <f>'Budget Display'!$K$5</f>
        <v>25</v>
      </c>
      <c r="T102" s="44">
        <f>'Budget Display'!$K$5</f>
        <v>25</v>
      </c>
      <c r="U102" s="44">
        <f>'Budget Display'!$K$5</f>
        <v>25</v>
      </c>
      <c r="V102" s="44">
        <f>'Budget Display'!$K$5</f>
        <v>25</v>
      </c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</row>
    <row r="103" spans="1:93">
      <c r="A103" s="88" t="s">
        <v>28</v>
      </c>
      <c r="B103" s="11" t="s">
        <v>210</v>
      </c>
      <c r="C103" s="44">
        <f>'Budget Display'!$K$7</f>
        <v>500</v>
      </c>
      <c r="D103" s="44">
        <f>'Budget Display'!$K$7</f>
        <v>500</v>
      </c>
      <c r="E103" s="44">
        <f>'Budget Display'!$K$7</f>
        <v>500</v>
      </c>
      <c r="F103" s="44">
        <f>'Budget Display'!$K$7</f>
        <v>500</v>
      </c>
      <c r="G103" s="44">
        <f>'Budget Display'!$K$7</f>
        <v>500</v>
      </c>
      <c r="H103" s="44">
        <f>'Budget Display'!$K$7</f>
        <v>500</v>
      </c>
      <c r="I103" s="44">
        <f>'Budget Display'!$K$7</f>
        <v>500</v>
      </c>
      <c r="J103" s="44">
        <f>'Budget Display'!$K$7</f>
        <v>500</v>
      </c>
      <c r="K103" s="44">
        <f>'Budget Display'!$K$7</f>
        <v>500</v>
      </c>
      <c r="L103" s="44">
        <f>'Budget Display'!$K$7</f>
        <v>500</v>
      </c>
      <c r="M103" s="44">
        <f>'Budget Display'!$K$7</f>
        <v>500</v>
      </c>
      <c r="N103" s="44">
        <f>'Budget Display'!$K$7</f>
        <v>500</v>
      </c>
      <c r="O103" s="44">
        <f>'Budget Display'!$K$7</f>
        <v>500</v>
      </c>
      <c r="P103" s="44">
        <f>'Budget Display'!$K$7</f>
        <v>500</v>
      </c>
      <c r="Q103" s="44">
        <f>'Budget Display'!$K$7</f>
        <v>500</v>
      </c>
      <c r="R103" s="44">
        <f>'Budget Display'!$K$7</f>
        <v>500</v>
      </c>
      <c r="S103" s="44">
        <f>'Budget Display'!$K$7</f>
        <v>500</v>
      </c>
      <c r="T103" s="44">
        <f>'Budget Display'!$K$7</f>
        <v>500</v>
      </c>
      <c r="U103" s="44">
        <f>'Budget Display'!$K$7</f>
        <v>500</v>
      </c>
      <c r="V103" s="44">
        <f>'Budget Display'!$K$7</f>
        <v>500</v>
      </c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</row>
    <row r="104" spans="1:93">
      <c r="A104" s="88" t="str">
        <f>IF('Budget Display'!D6="Owned","Land Interest Expense","")</f>
        <v>Land Interest Expense</v>
      </c>
      <c r="B104" s="11" t="s">
        <v>210</v>
      </c>
      <c r="C104" s="44">
        <f>'Budget Display'!$K$6</f>
        <v>100</v>
      </c>
      <c r="D104" s="44">
        <f>'Budget Display'!$K$6</f>
        <v>100</v>
      </c>
      <c r="E104" s="44">
        <f>'Budget Display'!$K$6</f>
        <v>100</v>
      </c>
      <c r="F104" s="44">
        <f>'Budget Display'!$K$6</f>
        <v>100</v>
      </c>
      <c r="G104" s="44">
        <f>'Budget Display'!$K$6</f>
        <v>100</v>
      </c>
      <c r="H104" s="44">
        <f>'Budget Display'!$K$6</f>
        <v>100</v>
      </c>
      <c r="I104" s="44">
        <f>'Budget Display'!$K$6</f>
        <v>100</v>
      </c>
      <c r="J104" s="44">
        <f>'Budget Display'!$K$6</f>
        <v>100</v>
      </c>
      <c r="K104" s="44">
        <f>'Budget Display'!$K$6</f>
        <v>100</v>
      </c>
      <c r="L104" s="44">
        <f>'Budget Display'!$K$6</f>
        <v>100</v>
      </c>
      <c r="M104" s="44">
        <f>'Budget Display'!$K$6</f>
        <v>100</v>
      </c>
      <c r="N104" s="44">
        <f>'Budget Display'!$K$6</f>
        <v>100</v>
      </c>
      <c r="O104" s="44">
        <f>'Budget Display'!$K$6</f>
        <v>100</v>
      </c>
      <c r="P104" s="44">
        <f>'Budget Display'!$K$6</f>
        <v>100</v>
      </c>
      <c r="Q104" s="44">
        <f>'Budget Display'!$K$6</f>
        <v>100</v>
      </c>
      <c r="R104" s="44">
        <f>'Budget Display'!$K$6</f>
        <v>100</v>
      </c>
      <c r="S104" s="44">
        <f>'Budget Display'!$K$6</f>
        <v>100</v>
      </c>
      <c r="T104" s="44">
        <f>'Budget Display'!$K$6</f>
        <v>100</v>
      </c>
      <c r="U104" s="44">
        <f>'Budget Display'!$K$6</f>
        <v>100</v>
      </c>
      <c r="V104" s="44">
        <f>'Budget Display'!$K$6</f>
        <v>100</v>
      </c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</row>
    <row r="105" spans="1:93">
      <c r="A105" s="88" t="s">
        <v>197</v>
      </c>
      <c r="B105" s="12">
        <f>'Budget Display'!$E$74</f>
        <v>6.5000000000000002E-2</v>
      </c>
      <c r="C105" s="12">
        <f>'Budget Display'!$E$74</f>
        <v>6.5000000000000002E-2</v>
      </c>
      <c r="D105" s="12">
        <f>'Budget Display'!$E$74</f>
        <v>6.5000000000000002E-2</v>
      </c>
      <c r="E105" s="12">
        <f>'Budget Display'!$E$74</f>
        <v>6.5000000000000002E-2</v>
      </c>
      <c r="F105" s="12">
        <f>'Budget Display'!$E$74</f>
        <v>6.5000000000000002E-2</v>
      </c>
      <c r="G105" s="12">
        <f>'Budget Display'!$E$74</f>
        <v>6.5000000000000002E-2</v>
      </c>
      <c r="H105" s="12">
        <f>'Budget Display'!$E$74</f>
        <v>6.5000000000000002E-2</v>
      </c>
      <c r="I105" s="12">
        <f>'Budget Display'!$E$74</f>
        <v>6.5000000000000002E-2</v>
      </c>
      <c r="J105" s="12">
        <f>'Budget Display'!$E$74</f>
        <v>6.5000000000000002E-2</v>
      </c>
      <c r="K105" s="12">
        <f>'Budget Display'!$E$74</f>
        <v>6.5000000000000002E-2</v>
      </c>
      <c r="L105" s="12">
        <f>'Budget Display'!$E$74</f>
        <v>6.5000000000000002E-2</v>
      </c>
      <c r="M105" s="12">
        <f>'Budget Display'!$E$74</f>
        <v>6.5000000000000002E-2</v>
      </c>
      <c r="N105" s="12">
        <f>'Budget Display'!$E$74</f>
        <v>6.5000000000000002E-2</v>
      </c>
      <c r="O105" s="12">
        <f>'Budget Display'!$E$74</f>
        <v>6.5000000000000002E-2</v>
      </c>
      <c r="P105" s="12">
        <f>'Budget Display'!$E$74</f>
        <v>6.5000000000000002E-2</v>
      </c>
      <c r="Q105" s="12">
        <f>'Budget Display'!$E$74</f>
        <v>6.5000000000000002E-2</v>
      </c>
      <c r="R105" s="12">
        <f>'Budget Display'!$E$74</f>
        <v>6.5000000000000002E-2</v>
      </c>
      <c r="S105" s="12">
        <f>'Budget Display'!$E$74</f>
        <v>6.5000000000000002E-2</v>
      </c>
      <c r="T105" s="12">
        <f>'Budget Display'!$E$74</f>
        <v>6.5000000000000002E-2</v>
      </c>
      <c r="U105" s="12">
        <f>'Budget Display'!$E$74</f>
        <v>6.5000000000000002E-2</v>
      </c>
      <c r="V105" s="12">
        <f>'Budget Display'!$E$74</f>
        <v>6.5000000000000002E-2</v>
      </c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</row>
    <row r="106" spans="1:93">
      <c r="A106" s="115" t="s">
        <v>221</v>
      </c>
      <c r="B106" s="11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</row>
    <row r="107" spans="1:93">
      <c r="A107" s="4"/>
      <c r="B107" s="16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</row>
    <row r="108" spans="1:93">
      <c r="A108" s="4"/>
      <c r="B108" s="16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</row>
    <row r="109" spans="1:93">
      <c r="A109" s="4"/>
      <c r="B109" s="16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</row>
    <row r="110" spans="1:93">
      <c r="A110" s="4"/>
      <c r="B110" s="16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</row>
    <row r="111" spans="1:93">
      <c r="A111" s="4"/>
      <c r="B111" s="16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</row>
    <row r="112" spans="1:93">
      <c r="A112" s="4"/>
      <c r="B112" s="16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</row>
    <row r="113" spans="1:93">
      <c r="A113" s="4"/>
      <c r="B113" s="16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</row>
    <row r="114" spans="1:93">
      <c r="A114" s="4"/>
      <c r="B114" s="16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</row>
    <row r="115" spans="1:93">
      <c r="A115" s="4"/>
      <c r="B115" s="16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</row>
    <row r="116" spans="1:93">
      <c r="A116" s="4"/>
      <c r="B116" s="16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</row>
    <row r="117" spans="1:93">
      <c r="A117" s="4"/>
      <c r="B117" s="16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</row>
    <row r="118" spans="1:93">
      <c r="A118" s="4"/>
      <c r="B118" s="16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</row>
    <row r="119" spans="1:93">
      <c r="A119" s="4"/>
      <c r="B119" s="16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</row>
    <row r="120" spans="1:93">
      <c r="A120" s="4"/>
      <c r="B120" s="16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</row>
    <row r="121" spans="1:93">
      <c r="A121" s="4"/>
      <c r="B121" s="16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</row>
    <row r="122" spans="1:93">
      <c r="A122" s="4"/>
      <c r="B122" s="16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</row>
    <row r="123" spans="1:93">
      <c r="A123" s="4"/>
      <c r="B123" s="16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</row>
    <row r="124" spans="1:93">
      <c r="A124" s="4"/>
      <c r="B124" s="16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</row>
    <row r="125" spans="1:93">
      <c r="A125" s="4"/>
      <c r="B125" s="16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</row>
    <row r="126" spans="1:93">
      <c r="A126" s="4"/>
      <c r="B126" s="16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</row>
    <row r="127" spans="1:93">
      <c r="A127" s="4"/>
      <c r="B127" s="16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</row>
    <row r="128" spans="1:93">
      <c r="A128" s="4"/>
      <c r="B128" s="16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</row>
    <row r="129" spans="1:93">
      <c r="A129" s="4"/>
      <c r="B129" s="16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</row>
    <row r="130" spans="1:93">
      <c r="A130" s="4"/>
      <c r="B130" s="16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</row>
    <row r="131" spans="1:93">
      <c r="A131" s="4"/>
      <c r="B131" s="16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</row>
    <row r="132" spans="1:93">
      <c r="A132" s="4"/>
      <c r="B132" s="16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</row>
    <row r="133" spans="1:93">
      <c r="A133" s="4"/>
      <c r="B133" s="16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</row>
    <row r="134" spans="1:93">
      <c r="A134" s="4"/>
      <c r="B134" s="16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</row>
    <row r="135" spans="1:93">
      <c r="A135" s="4"/>
      <c r="B135" s="16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</row>
    <row r="136" spans="1:93">
      <c r="A136" s="4"/>
      <c r="B136" s="16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</row>
    <row r="137" spans="1:93">
      <c r="A137" s="4"/>
      <c r="B137" s="16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</row>
    <row r="138" spans="1:93">
      <c r="A138" s="4"/>
      <c r="B138" s="16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</row>
    <row r="139" spans="1:93">
      <c r="A139" s="4"/>
      <c r="B139" s="16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</row>
    <row r="140" spans="1:93">
      <c r="A140" s="4"/>
      <c r="B140" s="16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</row>
    <row r="141" spans="1:93">
      <c r="A141" s="4"/>
      <c r="B141" s="16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</row>
    <row r="142" spans="1:93">
      <c r="A142" s="4"/>
      <c r="B142" s="16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</row>
    <row r="143" spans="1:93">
      <c r="A143" s="4"/>
      <c r="B143" s="16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</row>
    <row r="144" spans="1:93">
      <c r="A144" s="4"/>
      <c r="B144" s="16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</row>
    <row r="145" spans="23:93"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</row>
    <row r="146" spans="23:93"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</row>
    <row r="147" spans="23:93"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</row>
    <row r="148" spans="23:93"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</row>
    <row r="149" spans="23:93"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</row>
    <row r="150" spans="23:93"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</row>
    <row r="151" spans="23:93"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</row>
    <row r="152" spans="23:93"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</row>
    <row r="153" spans="23:93"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</row>
    <row r="154" spans="23:93"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</row>
    <row r="155" spans="23:93"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</row>
    <row r="156" spans="23:93"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</row>
    <row r="157" spans="23:93"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</row>
    <row r="158" spans="23:93"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</row>
    <row r="159" spans="23:93"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</row>
    <row r="160" spans="23:93"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</row>
    <row r="161" spans="23:93"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</row>
    <row r="162" spans="23:93"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</row>
    <row r="163" spans="23:93"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</row>
    <row r="164" spans="23:93"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</row>
    <row r="165" spans="23:93"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</row>
    <row r="166" spans="23:93"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</row>
    <row r="167" spans="23:93"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</row>
    <row r="168" spans="23:93"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</row>
    <row r="169" spans="23:93"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</row>
    <row r="170" spans="23:93"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</row>
    <row r="171" spans="23:93"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</row>
    <row r="172" spans="23:93"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</row>
    <row r="173" spans="23:93"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</row>
    <row r="174" spans="23:93"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</row>
    <row r="175" spans="23:93"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</row>
    <row r="176" spans="23:93"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</row>
    <row r="177" spans="54:93"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</row>
    <row r="178" spans="54:93"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</row>
    <row r="179" spans="54:93"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</row>
    <row r="180" spans="54:93"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</row>
    <row r="181" spans="54:93"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</row>
    <row r="182" spans="54:93"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</row>
    <row r="183" spans="54:93"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</row>
    <row r="184" spans="54:93"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</row>
    <row r="185" spans="54:93"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</row>
    <row r="186" spans="54:93"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</row>
    <row r="187" spans="54:93"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</row>
    <row r="188" spans="54:93"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</row>
    <row r="189" spans="54:93"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</row>
    <row r="190" spans="54:93"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</row>
    <row r="191" spans="54:93"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</row>
    <row r="192" spans="54:93"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</row>
    <row r="193" spans="54:93"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</row>
    <row r="194" spans="54:93"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</row>
    <row r="195" spans="54:93"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</row>
    <row r="196" spans="54:93"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</row>
    <row r="197" spans="54:93"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</row>
    <row r="198" spans="54:93"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</row>
    <row r="199" spans="54:93"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</row>
    <row r="200" spans="54:93"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</row>
  </sheetData>
  <sheetProtection password="8892" sheet="1" objects="1" scenarios="1" selectLockedCells="1"/>
  <mergeCells count="1">
    <mergeCell ref="F14:L19"/>
  </mergeCells>
  <pageMargins left="0.7" right="0.7" top="0.75" bottom="0.75" header="0.3" footer="0.3"/>
  <pageSetup scale="10" orientation="landscape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topLeftCell="A108" zoomScale="90" zoomScaleNormal="90" zoomScalePageLayoutView="90" workbookViewId="0">
      <selection activeCell="R132" sqref="R132:R134"/>
    </sheetView>
  </sheetViews>
  <sheetFormatPr baseColWidth="10" defaultColWidth="8.83203125" defaultRowHeight="14" x14ac:dyDescent="0"/>
  <cols>
    <col min="1" max="1" width="10.33203125" bestFit="1" customWidth="1"/>
    <col min="2" max="2" width="58.6640625" bestFit="1" customWidth="1"/>
    <col min="3" max="3" width="27.6640625" customWidth="1"/>
    <col min="4" max="4" width="10.5" bestFit="1" customWidth="1"/>
    <col min="5" max="5" width="24" bestFit="1" customWidth="1"/>
    <col min="6" max="6" width="11.6640625" customWidth="1"/>
    <col min="7" max="7" width="10.6640625" customWidth="1"/>
    <col min="8" max="8" width="15.5" customWidth="1"/>
    <col min="9" max="9" width="10.6640625" customWidth="1"/>
    <col min="10" max="10" width="11.5" customWidth="1"/>
    <col min="11" max="11" width="10.5" bestFit="1" customWidth="1"/>
    <col min="12" max="12" width="9" bestFit="1" customWidth="1"/>
    <col min="13" max="13" width="17.83203125" bestFit="1" customWidth="1"/>
    <col min="15" max="15" width="10.83203125" bestFit="1" customWidth="1"/>
    <col min="17" max="17" width="11.6640625" bestFit="1" customWidth="1"/>
    <col min="18" max="18" width="11.1640625" bestFit="1" customWidth="1"/>
    <col min="19" max="19" width="10.1640625" bestFit="1" customWidth="1"/>
    <col min="20" max="20" width="10.83203125" bestFit="1" customWidth="1"/>
    <col min="25" max="25" width="10.83203125" bestFit="1" customWidth="1"/>
    <col min="30" max="30" width="10.83203125" bestFit="1" customWidth="1"/>
  </cols>
  <sheetData>
    <row r="1" spans="1:9" ht="15">
      <c r="A1" s="145"/>
      <c r="B1" s="149" t="s">
        <v>244</v>
      </c>
      <c r="C1" s="145"/>
      <c r="F1" s="143"/>
      <c r="I1" s="143"/>
    </row>
    <row r="2" spans="1:9" ht="16" thickBot="1">
      <c r="A2" s="145"/>
      <c r="B2" s="149"/>
      <c r="C2" s="145"/>
      <c r="F2" s="143"/>
      <c r="I2" s="143"/>
    </row>
    <row r="3" spans="1:9" ht="16" thickTop="1">
      <c r="A3" s="152" t="s">
        <v>263</v>
      </c>
      <c r="B3" s="151" t="s">
        <v>264</v>
      </c>
      <c r="C3" s="150"/>
      <c r="F3" s="143"/>
      <c r="I3" s="143"/>
    </row>
    <row r="4" spans="1:9" ht="15">
      <c r="A4" s="153" t="s">
        <v>150</v>
      </c>
      <c r="B4" s="143" t="s">
        <v>159</v>
      </c>
      <c r="C4" s="143"/>
      <c r="E4" s="2"/>
      <c r="F4" s="143"/>
      <c r="I4" s="143"/>
    </row>
    <row r="5" spans="1:9" ht="15">
      <c r="A5" s="145"/>
      <c r="B5" s="143" t="s">
        <v>250</v>
      </c>
      <c r="C5" s="143"/>
      <c r="F5" s="143"/>
      <c r="I5" s="143"/>
    </row>
    <row r="6" spans="1:9" ht="15">
      <c r="A6" s="145"/>
      <c r="B6" s="146" t="s">
        <v>259</v>
      </c>
      <c r="C6" s="143"/>
      <c r="F6" s="143"/>
      <c r="I6" s="143"/>
    </row>
    <row r="7" spans="1:9" ht="15">
      <c r="A7" s="145" t="s">
        <v>163</v>
      </c>
      <c r="B7" s="143" t="s">
        <v>165</v>
      </c>
      <c r="C7" s="143"/>
      <c r="F7" s="143"/>
      <c r="I7" s="143"/>
    </row>
    <row r="8" spans="1:9" ht="15">
      <c r="A8" s="145"/>
      <c r="B8" s="145" t="s">
        <v>251</v>
      </c>
      <c r="C8" s="143"/>
      <c r="F8" s="143"/>
      <c r="I8" s="143"/>
    </row>
    <row r="9" spans="1:9" ht="15">
      <c r="A9" s="145" t="s">
        <v>164</v>
      </c>
      <c r="B9" s="143" t="s">
        <v>157</v>
      </c>
      <c r="C9" s="143"/>
      <c r="F9" s="143"/>
      <c r="I9" s="143"/>
    </row>
    <row r="10" spans="1:9" ht="15">
      <c r="A10" s="145"/>
      <c r="B10" s="143" t="s">
        <v>158</v>
      </c>
      <c r="C10" s="143"/>
      <c r="F10" s="143"/>
      <c r="I10" s="143"/>
    </row>
    <row r="11" spans="1:9" ht="15">
      <c r="A11" s="145"/>
      <c r="B11" s="143" t="s">
        <v>224</v>
      </c>
      <c r="C11" s="143"/>
      <c r="F11" s="143"/>
      <c r="I11" s="143"/>
    </row>
    <row r="12" spans="1:9" ht="15">
      <c r="A12" s="145"/>
      <c r="B12" s="143" t="s">
        <v>160</v>
      </c>
      <c r="C12" s="143"/>
      <c r="F12" s="143"/>
      <c r="I12" s="143"/>
    </row>
    <row r="13" spans="1:9" ht="15">
      <c r="A13" s="145"/>
      <c r="B13" s="143" t="s">
        <v>161</v>
      </c>
      <c r="C13" s="143"/>
      <c r="F13" s="143"/>
      <c r="I13" s="143"/>
    </row>
    <row r="14" spans="1:9" ht="15">
      <c r="A14" s="145"/>
      <c r="B14" s="143" t="s">
        <v>162</v>
      </c>
      <c r="C14" s="143"/>
      <c r="F14" s="143"/>
      <c r="I14" s="143"/>
    </row>
    <row r="15" spans="1:9" ht="15">
      <c r="A15" s="145"/>
      <c r="B15" s="143" t="s">
        <v>252</v>
      </c>
      <c r="C15" s="143"/>
      <c r="D15" s="2"/>
      <c r="F15" s="143"/>
      <c r="I15" s="143"/>
    </row>
    <row r="16" spans="1:9" ht="15">
      <c r="A16" s="145" t="s">
        <v>144</v>
      </c>
      <c r="B16" s="143" t="s">
        <v>254</v>
      </c>
      <c r="C16" s="143"/>
      <c r="F16" s="143"/>
      <c r="I16" s="143"/>
    </row>
    <row r="17" spans="1:14" ht="15">
      <c r="A17" s="145"/>
      <c r="B17" s="143" t="s">
        <v>253</v>
      </c>
      <c r="C17" s="143"/>
      <c r="F17" s="143"/>
      <c r="I17" s="143"/>
    </row>
    <row r="18" spans="1:14" ht="15">
      <c r="A18" s="145" t="s">
        <v>145</v>
      </c>
      <c r="B18" s="143" t="s">
        <v>252</v>
      </c>
      <c r="C18" s="143"/>
      <c r="F18" s="143"/>
      <c r="I18" s="143"/>
    </row>
    <row r="19" spans="1:14" ht="15">
      <c r="A19" s="145" t="s">
        <v>146</v>
      </c>
      <c r="B19" s="146" t="s">
        <v>256</v>
      </c>
      <c r="C19" s="146"/>
      <c r="F19" s="143"/>
      <c r="I19" s="143"/>
    </row>
    <row r="20" spans="1:14" ht="15">
      <c r="A20" s="145"/>
      <c r="B20" s="143" t="s">
        <v>255</v>
      </c>
      <c r="C20" s="143"/>
      <c r="F20" s="143"/>
      <c r="I20" s="143"/>
    </row>
    <row r="21" spans="1:14" ht="15">
      <c r="A21" s="145"/>
      <c r="B21" s="143" t="s">
        <v>256</v>
      </c>
      <c r="C21" s="143"/>
      <c r="D21" s="143"/>
      <c r="E21" s="143"/>
      <c r="F21" s="143"/>
      <c r="I21" s="143"/>
    </row>
    <row r="22" spans="1:14" ht="15">
      <c r="A22" s="145"/>
      <c r="B22" s="143" t="s">
        <v>252</v>
      </c>
      <c r="C22" s="143"/>
      <c r="D22" s="143"/>
      <c r="E22" s="143"/>
      <c r="F22" s="143"/>
      <c r="I22" s="143"/>
    </row>
    <row r="23" spans="1:14" ht="15">
      <c r="A23" s="145" t="s">
        <v>147</v>
      </c>
      <c r="B23" s="143" t="s">
        <v>256</v>
      </c>
      <c r="C23" s="143"/>
      <c r="D23" s="143"/>
      <c r="E23" s="143"/>
      <c r="F23" s="143"/>
      <c r="I23" s="143"/>
      <c r="J23" s="143"/>
      <c r="K23" s="143"/>
      <c r="L23" s="143"/>
      <c r="M23" s="143"/>
      <c r="N23" s="143"/>
    </row>
    <row r="24" spans="1:14" ht="15">
      <c r="A24" s="145"/>
      <c r="B24" s="143" t="s">
        <v>256</v>
      </c>
      <c r="C24" s="143"/>
      <c r="D24" s="143"/>
      <c r="E24" s="143"/>
      <c r="F24" s="143"/>
      <c r="I24" s="143"/>
      <c r="J24" s="143"/>
      <c r="K24" s="143"/>
      <c r="L24" s="143"/>
      <c r="M24" s="143"/>
      <c r="N24" s="143"/>
    </row>
    <row r="25" spans="1:14" ht="15">
      <c r="A25" s="145"/>
      <c r="B25" s="143" t="s">
        <v>252</v>
      </c>
      <c r="C25" s="143"/>
      <c r="D25" s="143"/>
      <c r="E25" s="143"/>
      <c r="F25" s="143"/>
      <c r="I25" s="143"/>
      <c r="J25" s="143"/>
      <c r="K25" s="143"/>
      <c r="L25" s="143"/>
      <c r="M25" s="143"/>
      <c r="N25" s="143"/>
    </row>
    <row r="26" spans="1:14" ht="15">
      <c r="A26" s="145" t="s">
        <v>148</v>
      </c>
      <c r="B26" s="143" t="s">
        <v>256</v>
      </c>
      <c r="C26" s="143"/>
      <c r="D26" s="143"/>
      <c r="E26" s="143"/>
      <c r="F26" s="143"/>
      <c r="I26" s="143"/>
      <c r="J26" s="143"/>
      <c r="K26" s="143"/>
      <c r="L26" s="143"/>
      <c r="M26" s="143"/>
      <c r="N26" s="143"/>
    </row>
    <row r="27" spans="1:14" ht="15">
      <c r="A27" s="145"/>
      <c r="B27" s="143" t="s">
        <v>255</v>
      </c>
      <c r="C27" s="143"/>
      <c r="D27" s="143"/>
      <c r="E27" s="143"/>
      <c r="F27" s="143"/>
      <c r="I27" s="143"/>
      <c r="J27" s="143"/>
      <c r="K27" s="143"/>
      <c r="L27" s="143"/>
      <c r="M27" s="143"/>
      <c r="N27" s="143"/>
    </row>
    <row r="28" spans="1:14" ht="15">
      <c r="A28" s="145"/>
      <c r="B28" s="143" t="s">
        <v>256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</row>
    <row r="29" spans="1:14" ht="15">
      <c r="A29" s="145"/>
      <c r="B29" s="143" t="s">
        <v>252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</row>
    <row r="30" spans="1:14" ht="15">
      <c r="A30" s="145" t="s">
        <v>149</v>
      </c>
      <c r="B30" s="143" t="s">
        <v>256</v>
      </c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</row>
    <row r="31" spans="1:14" ht="15">
      <c r="A31" s="145"/>
      <c r="B31" s="143" t="s">
        <v>256</v>
      </c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</row>
    <row r="32" spans="1:14" ht="15">
      <c r="A32" s="145"/>
      <c r="B32" s="143" t="s">
        <v>252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</row>
    <row r="33" spans="1:14" ht="15">
      <c r="A33" s="145"/>
      <c r="B33" s="143" t="s">
        <v>283</v>
      </c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</row>
    <row r="34" spans="1:14" ht="15">
      <c r="A34" s="145" t="s">
        <v>150</v>
      </c>
      <c r="B34" s="143" t="s">
        <v>283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</row>
    <row r="35" spans="1:14" ht="16" thickBot="1">
      <c r="A35" s="144" t="s">
        <v>153</v>
      </c>
      <c r="B35" s="144" t="s">
        <v>262</v>
      </c>
      <c r="C35" s="144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</row>
    <row r="36" spans="1:14" ht="16" thickTop="1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</row>
    <row r="37" spans="1:14" ht="15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</row>
    <row r="38" spans="1:14" ht="15">
      <c r="A38" s="148"/>
      <c r="B38" s="148" t="s">
        <v>247</v>
      </c>
      <c r="C38" s="145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</row>
    <row r="39" spans="1:14" ht="16" thickBot="1">
      <c r="A39" s="148"/>
      <c r="B39" s="148"/>
      <c r="C39" s="145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</row>
    <row r="40" spans="1:14" ht="16" thickTop="1">
      <c r="A40" s="152" t="s">
        <v>263</v>
      </c>
      <c r="B40" s="151" t="s">
        <v>264</v>
      </c>
      <c r="C40" s="150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</row>
    <row r="41" spans="1:14" ht="15">
      <c r="A41" s="153" t="s">
        <v>144</v>
      </c>
      <c r="B41" s="143" t="s">
        <v>260</v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</row>
    <row r="42" spans="1:14" ht="15">
      <c r="A42" s="145" t="s">
        <v>145</v>
      </c>
      <c r="B42" s="143" t="s">
        <v>252</v>
      </c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</row>
    <row r="43" spans="1:14" ht="15">
      <c r="A43" s="145" t="s">
        <v>146</v>
      </c>
      <c r="B43" s="143" t="s">
        <v>256</v>
      </c>
      <c r="C43" s="146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</row>
    <row r="44" spans="1:14" ht="15">
      <c r="A44" s="145"/>
      <c r="B44" s="143" t="s">
        <v>255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</row>
    <row r="45" spans="1:14" ht="15">
      <c r="A45" s="145"/>
      <c r="B45" s="143" t="s">
        <v>256</v>
      </c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</row>
    <row r="46" spans="1:14" ht="15">
      <c r="A46" s="145"/>
      <c r="B46" s="143" t="s">
        <v>252</v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</row>
    <row r="47" spans="1:14" ht="15">
      <c r="A47" s="145" t="s">
        <v>147</v>
      </c>
      <c r="B47" s="143" t="s">
        <v>256</v>
      </c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</row>
    <row r="48" spans="1:14" ht="15">
      <c r="A48" s="145"/>
      <c r="B48" s="143" t="s">
        <v>256</v>
      </c>
    </row>
    <row r="49" spans="1:5" ht="15">
      <c r="A49" s="145"/>
      <c r="B49" s="143" t="s">
        <v>252</v>
      </c>
    </row>
    <row r="50" spans="1:5" ht="15">
      <c r="A50" s="145" t="s">
        <v>148</v>
      </c>
      <c r="B50" s="143" t="s">
        <v>256</v>
      </c>
    </row>
    <row r="51" spans="1:5" ht="15">
      <c r="A51" s="145"/>
      <c r="B51" s="143" t="s">
        <v>255</v>
      </c>
    </row>
    <row r="52" spans="1:5" ht="15">
      <c r="A52" s="145"/>
      <c r="B52" s="143" t="s">
        <v>256</v>
      </c>
    </row>
    <row r="53" spans="1:5" ht="15">
      <c r="A53" s="145"/>
      <c r="B53" s="143" t="s">
        <v>252</v>
      </c>
    </row>
    <row r="54" spans="1:5" ht="15">
      <c r="A54" s="145" t="s">
        <v>149</v>
      </c>
      <c r="B54" s="143" t="s">
        <v>256</v>
      </c>
    </row>
    <row r="55" spans="1:5" ht="15">
      <c r="A55" s="145"/>
      <c r="B55" s="143" t="s">
        <v>256</v>
      </c>
    </row>
    <row r="56" spans="1:5" ht="15">
      <c r="A56" s="145"/>
      <c r="B56" s="143" t="s">
        <v>252</v>
      </c>
    </row>
    <row r="57" spans="1:5" ht="15">
      <c r="A57" s="145"/>
      <c r="B57" s="143" t="s">
        <v>283</v>
      </c>
    </row>
    <row r="58" spans="1:5" ht="15">
      <c r="A58" s="145" t="s">
        <v>150</v>
      </c>
      <c r="B58" s="143" t="s">
        <v>283</v>
      </c>
    </row>
    <row r="59" spans="1:5" ht="15">
      <c r="A59" s="145" t="s">
        <v>152</v>
      </c>
      <c r="B59" s="143" t="s">
        <v>248</v>
      </c>
    </row>
    <row r="60" spans="1:5" ht="16" thickBot="1">
      <c r="A60" s="144" t="s">
        <v>153</v>
      </c>
      <c r="B60" s="144" t="s">
        <v>262</v>
      </c>
      <c r="C60" s="142"/>
    </row>
    <row r="61" spans="1:5" ht="15" thickTop="1"/>
    <row r="62" spans="1:5" ht="15">
      <c r="A62" s="148"/>
      <c r="B62" s="148" t="s">
        <v>266</v>
      </c>
      <c r="C62" s="145"/>
      <c r="D62" s="145"/>
      <c r="E62" s="143"/>
    </row>
    <row r="63" spans="1:5" ht="16" thickBot="1">
      <c r="A63" s="148"/>
      <c r="B63" s="148"/>
      <c r="C63" s="145"/>
      <c r="D63" s="145"/>
      <c r="E63" s="143"/>
    </row>
    <row r="64" spans="1:5" ht="16" thickTop="1">
      <c r="A64" s="152" t="s">
        <v>263</v>
      </c>
      <c r="B64" s="151" t="s">
        <v>264</v>
      </c>
      <c r="C64" s="150"/>
      <c r="D64" s="145"/>
      <c r="E64" s="143"/>
    </row>
    <row r="65" spans="1:5" ht="15">
      <c r="A65" s="145" t="s">
        <v>143</v>
      </c>
      <c r="B65" s="143" t="s">
        <v>265</v>
      </c>
      <c r="C65" s="145"/>
      <c r="D65" s="145"/>
      <c r="E65" s="143"/>
    </row>
    <row r="66" spans="1:5" ht="15">
      <c r="A66" s="145"/>
      <c r="B66" s="143" t="s">
        <v>245</v>
      </c>
      <c r="C66" s="145"/>
      <c r="D66" s="145"/>
      <c r="E66" s="143"/>
    </row>
    <row r="67" spans="1:5" ht="15">
      <c r="A67" s="145" t="s">
        <v>144</v>
      </c>
      <c r="B67" s="143" t="s">
        <v>260</v>
      </c>
      <c r="C67" s="143"/>
      <c r="D67" s="143"/>
      <c r="E67" s="143"/>
    </row>
    <row r="68" spans="1:5" ht="15">
      <c r="A68" s="145" t="s">
        <v>145</v>
      </c>
      <c r="B68" s="143" t="s">
        <v>252</v>
      </c>
      <c r="C68" s="143"/>
      <c r="D68" s="143"/>
      <c r="E68" s="143"/>
    </row>
    <row r="69" spans="1:5" ht="15">
      <c r="A69" s="145" t="s">
        <v>146</v>
      </c>
      <c r="B69" s="146" t="s">
        <v>261</v>
      </c>
      <c r="C69" s="143"/>
      <c r="D69" s="143"/>
      <c r="E69" s="143"/>
    </row>
    <row r="70" spans="1:5" ht="15">
      <c r="A70" s="145"/>
      <c r="B70" s="143" t="s">
        <v>252</v>
      </c>
      <c r="C70" s="143"/>
      <c r="D70" s="143"/>
      <c r="E70" s="143"/>
    </row>
    <row r="71" spans="1:5" ht="15">
      <c r="A71" s="145" t="s">
        <v>147</v>
      </c>
      <c r="B71" s="143" t="s">
        <v>261</v>
      </c>
      <c r="C71" s="143"/>
      <c r="D71" s="143"/>
      <c r="E71" s="143"/>
    </row>
    <row r="72" spans="1:5" ht="15">
      <c r="A72" s="145"/>
      <c r="B72" s="143" t="s">
        <v>252</v>
      </c>
      <c r="C72" s="143"/>
      <c r="D72" s="143"/>
      <c r="E72" s="143"/>
    </row>
    <row r="73" spans="1:5" ht="15">
      <c r="A73" s="145" t="s">
        <v>148</v>
      </c>
      <c r="B73" s="143" t="s">
        <v>252</v>
      </c>
      <c r="C73" s="143"/>
      <c r="D73" s="143"/>
      <c r="E73" s="143"/>
    </row>
    <row r="74" spans="1:5" ht="15">
      <c r="A74" s="145"/>
      <c r="B74" s="143" t="s">
        <v>261</v>
      </c>
      <c r="C74" s="143"/>
      <c r="D74" s="143"/>
      <c r="E74" s="143"/>
    </row>
    <row r="75" spans="1:5" ht="15">
      <c r="A75" s="145"/>
      <c r="B75" s="146" t="s">
        <v>258</v>
      </c>
      <c r="C75" s="143"/>
      <c r="D75" s="143"/>
      <c r="E75" s="143"/>
    </row>
    <row r="76" spans="1:5" ht="15">
      <c r="A76" s="145" t="s">
        <v>149</v>
      </c>
      <c r="B76" s="143" t="s">
        <v>252</v>
      </c>
      <c r="C76" s="143"/>
      <c r="D76" s="143"/>
      <c r="E76" s="143"/>
    </row>
    <row r="77" spans="1:5" ht="15">
      <c r="A77" s="145"/>
      <c r="B77" s="143" t="s">
        <v>283</v>
      </c>
      <c r="C77" s="143"/>
      <c r="D77" s="143"/>
      <c r="E77" s="143"/>
    </row>
    <row r="78" spans="1:5" ht="15">
      <c r="A78" s="145" t="s">
        <v>150</v>
      </c>
      <c r="B78" s="143" t="s">
        <v>257</v>
      </c>
      <c r="C78" s="143"/>
      <c r="D78" s="143"/>
      <c r="E78" s="143"/>
    </row>
    <row r="79" spans="1:5" ht="15">
      <c r="A79" s="145"/>
      <c r="B79" s="143" t="s">
        <v>257</v>
      </c>
      <c r="C79" s="143"/>
      <c r="D79" s="143"/>
      <c r="E79" s="143"/>
    </row>
    <row r="80" spans="1:5" ht="15">
      <c r="A80" s="145"/>
      <c r="B80" s="143" t="s">
        <v>283</v>
      </c>
      <c r="C80" s="143"/>
      <c r="D80" s="143"/>
      <c r="E80" s="143"/>
    </row>
    <row r="81" spans="1:8" ht="15">
      <c r="A81" s="145" t="s">
        <v>151</v>
      </c>
      <c r="B81" s="143" t="s">
        <v>246</v>
      </c>
      <c r="C81" s="143"/>
      <c r="D81" s="143"/>
      <c r="E81" s="143"/>
    </row>
    <row r="82" spans="1:8" ht="15">
      <c r="A82" s="145" t="s">
        <v>152</v>
      </c>
      <c r="B82" s="143" t="s">
        <v>178</v>
      </c>
      <c r="C82" s="143"/>
      <c r="D82" s="143"/>
      <c r="E82" s="143"/>
    </row>
    <row r="83" spans="1:8" ht="15">
      <c r="A83" s="145"/>
      <c r="B83" s="143" t="s">
        <v>179</v>
      </c>
      <c r="C83" s="143"/>
      <c r="D83" s="143"/>
      <c r="E83" s="143"/>
    </row>
    <row r="84" spans="1:8" ht="15">
      <c r="A84" s="145"/>
      <c r="B84" s="143" t="s">
        <v>267</v>
      </c>
      <c r="C84" s="143"/>
      <c r="D84" s="143"/>
      <c r="E84" s="143"/>
    </row>
    <row r="85" spans="1:8" ht="15">
      <c r="A85" s="145"/>
      <c r="B85" s="145" t="s">
        <v>134</v>
      </c>
      <c r="C85" s="143"/>
      <c r="D85" s="143"/>
      <c r="E85" s="143"/>
    </row>
    <row r="86" spans="1:8" ht="16" thickBot="1">
      <c r="A86" s="144"/>
      <c r="B86" s="144" t="s">
        <v>209</v>
      </c>
      <c r="C86" s="144"/>
      <c r="D86" s="143"/>
      <c r="E86" s="143"/>
    </row>
    <row r="87" spans="1:8" ht="16" thickTop="1">
      <c r="A87" s="143"/>
      <c r="B87" s="143"/>
      <c r="C87" s="143"/>
      <c r="D87" s="143"/>
      <c r="E87" s="143"/>
    </row>
    <row r="88" spans="1:8" ht="15" thickBot="1">
      <c r="A88" s="142"/>
      <c r="B88" s="142"/>
      <c r="E88" s="2"/>
      <c r="F88" s="2"/>
      <c r="G88" s="2"/>
    </row>
    <row r="89" spans="1:8" ht="15" thickTop="1"/>
    <row r="90" spans="1:8" ht="15" thickBot="1">
      <c r="G90" s="142"/>
      <c r="H90" s="142"/>
    </row>
    <row r="91" spans="1:8" ht="16" thickTop="1">
      <c r="D91" s="180" t="s">
        <v>105</v>
      </c>
      <c r="E91" s="181" t="s">
        <v>285</v>
      </c>
      <c r="F91" s="163"/>
      <c r="G91" s="183"/>
      <c r="H91" s="183"/>
    </row>
    <row r="92" spans="1:8" ht="15">
      <c r="D92" s="164">
        <v>1</v>
      </c>
      <c r="E92" s="165">
        <v>0</v>
      </c>
      <c r="F92" s="4"/>
      <c r="G92" s="4"/>
      <c r="H92" s="6"/>
    </row>
    <row r="93" spans="1:8" ht="15">
      <c r="C93" s="154"/>
      <c r="D93" s="164">
        <v>2</v>
      </c>
      <c r="E93" s="165">
        <v>0</v>
      </c>
      <c r="F93" s="4"/>
      <c r="G93" s="4"/>
      <c r="H93" s="4"/>
    </row>
    <row r="94" spans="1:8" ht="15">
      <c r="C94" s="154"/>
      <c r="D94" s="164">
        <v>3</v>
      </c>
      <c r="E94" s="165">
        <v>0</v>
      </c>
      <c r="F94" s="4"/>
      <c r="G94" s="4"/>
      <c r="H94" s="4"/>
    </row>
    <row r="95" spans="1:8" ht="15">
      <c r="C95" s="154"/>
      <c r="D95" s="164">
        <v>4</v>
      </c>
      <c r="E95" s="165">
        <v>30</v>
      </c>
      <c r="F95" s="4"/>
      <c r="G95" s="4"/>
      <c r="H95" s="4"/>
    </row>
    <row r="96" spans="1:8" ht="15">
      <c r="C96" s="154"/>
      <c r="D96" s="164">
        <v>5</v>
      </c>
      <c r="E96" s="165">
        <v>121</v>
      </c>
      <c r="F96" s="4"/>
      <c r="G96" s="4"/>
      <c r="H96" s="4"/>
    </row>
    <row r="97" spans="3:12" ht="15">
      <c r="C97" s="154"/>
      <c r="D97" s="164">
        <v>6</v>
      </c>
      <c r="E97" s="165">
        <v>241</v>
      </c>
      <c r="F97" s="4"/>
      <c r="G97" s="4"/>
      <c r="H97" s="4"/>
    </row>
    <row r="98" spans="3:12" ht="15">
      <c r="C98" s="154"/>
      <c r="D98" s="164">
        <v>7</v>
      </c>
      <c r="E98" s="165">
        <v>362</v>
      </c>
      <c r="F98" s="4"/>
      <c r="G98" s="4"/>
      <c r="H98" s="4"/>
    </row>
    <row r="99" spans="3:12" ht="15">
      <c r="C99" s="154"/>
      <c r="D99" s="164">
        <v>8</v>
      </c>
      <c r="E99" s="165">
        <v>482</v>
      </c>
      <c r="F99" s="4"/>
      <c r="G99" s="4"/>
      <c r="H99" s="4"/>
    </row>
    <row r="100" spans="3:12" ht="15">
      <c r="C100" s="154"/>
      <c r="D100" s="164">
        <v>9</v>
      </c>
      <c r="E100" s="165">
        <v>603</v>
      </c>
      <c r="F100" s="4"/>
      <c r="G100" s="4"/>
      <c r="H100" s="4"/>
    </row>
    <row r="101" spans="3:12" ht="15">
      <c r="C101" s="154"/>
      <c r="D101" s="164">
        <v>10</v>
      </c>
      <c r="E101" s="165">
        <v>723</v>
      </c>
      <c r="F101" s="4"/>
      <c r="G101" s="4"/>
      <c r="H101" s="4"/>
    </row>
    <row r="102" spans="3:12" ht="15">
      <c r="C102" s="154"/>
      <c r="D102" s="164">
        <v>11</v>
      </c>
      <c r="E102" s="165">
        <v>964</v>
      </c>
      <c r="F102" s="4"/>
      <c r="G102" s="4"/>
      <c r="H102" s="4"/>
    </row>
    <row r="103" spans="3:12" ht="15">
      <c r="C103" s="154"/>
      <c r="D103" s="164">
        <v>12</v>
      </c>
      <c r="E103" s="165">
        <v>1300</v>
      </c>
      <c r="F103" s="4"/>
      <c r="G103" s="4"/>
      <c r="H103" s="4"/>
    </row>
    <row r="104" spans="3:12" ht="15">
      <c r="C104" s="154"/>
      <c r="D104" s="164">
        <v>13</v>
      </c>
      <c r="E104" s="165">
        <v>1700</v>
      </c>
      <c r="F104" s="4"/>
      <c r="G104" s="4"/>
      <c r="H104" s="4"/>
    </row>
    <row r="105" spans="3:12" ht="15">
      <c r="C105" s="154"/>
      <c r="D105" s="164">
        <v>14</v>
      </c>
      <c r="E105" s="165">
        <v>1300</v>
      </c>
      <c r="F105" s="4"/>
      <c r="G105" s="4"/>
      <c r="H105" s="4"/>
    </row>
    <row r="106" spans="3:12" ht="15">
      <c r="C106" s="154"/>
      <c r="D106" s="164">
        <v>15</v>
      </c>
      <c r="E106" s="165">
        <v>1700</v>
      </c>
      <c r="F106" s="4"/>
      <c r="G106" s="4"/>
      <c r="H106" s="4"/>
      <c r="K106" s="141"/>
    </row>
    <row r="107" spans="3:12" ht="15">
      <c r="C107" s="154"/>
      <c r="D107" s="164">
        <v>16</v>
      </c>
      <c r="E107" s="165">
        <v>1300</v>
      </c>
      <c r="F107" s="4"/>
      <c r="G107" s="4"/>
      <c r="H107" s="4"/>
      <c r="I107" s="155"/>
    </row>
    <row r="108" spans="3:12" ht="15">
      <c r="C108" s="154"/>
      <c r="D108" s="164">
        <v>17</v>
      </c>
      <c r="E108" s="165">
        <v>1700</v>
      </c>
      <c r="F108" s="4"/>
      <c r="G108" s="4"/>
      <c r="H108" s="4"/>
    </row>
    <row r="109" spans="3:12" ht="15">
      <c r="C109" s="154"/>
      <c r="D109" s="164">
        <v>18</v>
      </c>
      <c r="E109" s="165">
        <v>1300</v>
      </c>
      <c r="F109" s="4"/>
      <c r="G109" s="4"/>
      <c r="H109" s="4"/>
    </row>
    <row r="110" spans="3:12" ht="15">
      <c r="D110" s="164">
        <v>19</v>
      </c>
      <c r="E110" s="165">
        <v>1700</v>
      </c>
      <c r="F110" s="4"/>
      <c r="G110" s="4"/>
      <c r="H110" s="4"/>
    </row>
    <row r="111" spans="3:12" ht="16" thickBot="1">
      <c r="D111" s="166">
        <v>20</v>
      </c>
      <c r="E111" s="167">
        <v>1300</v>
      </c>
      <c r="F111" s="182"/>
      <c r="G111" s="182"/>
      <c r="H111" s="182"/>
      <c r="I111" s="142"/>
      <c r="J111" s="142"/>
      <c r="K111" s="142"/>
      <c r="L111" s="142"/>
    </row>
    <row r="112" spans="3:12" ht="16" thickTop="1">
      <c r="I112" s="207" t="s">
        <v>282</v>
      </c>
      <c r="J112" s="208"/>
      <c r="K112" s="208"/>
      <c r="L112" s="208"/>
    </row>
    <row r="113" spans="8:20" ht="15">
      <c r="I113" s="164" t="s">
        <v>279</v>
      </c>
      <c r="J113" s="164" t="s">
        <v>270</v>
      </c>
      <c r="K113" s="164"/>
      <c r="L113" s="164" t="s">
        <v>268</v>
      </c>
    </row>
    <row r="114" spans="8:20" ht="15">
      <c r="I114" s="168" t="s">
        <v>273</v>
      </c>
      <c r="J114" s="168" t="s">
        <v>271</v>
      </c>
      <c r="K114" s="168" t="s">
        <v>272</v>
      </c>
      <c r="L114" s="168" t="s">
        <v>276</v>
      </c>
    </row>
    <row r="115" spans="8:20" ht="15">
      <c r="I115" s="164" t="s">
        <v>274</v>
      </c>
      <c r="J115" s="169">
        <v>1.9039999999999999</v>
      </c>
      <c r="K115" s="169">
        <v>10</v>
      </c>
      <c r="L115" s="169">
        <v>6.93</v>
      </c>
    </row>
    <row r="116" spans="8:20" ht="15">
      <c r="I116" s="164" t="s">
        <v>269</v>
      </c>
      <c r="J116" s="169">
        <v>1.61</v>
      </c>
      <c r="K116" s="169">
        <v>8.0500000000000007</v>
      </c>
      <c r="L116" s="169">
        <v>5.226</v>
      </c>
    </row>
    <row r="117" spans="8:20" ht="16" thickBot="1">
      <c r="I117" s="166" t="s">
        <v>275</v>
      </c>
      <c r="J117" s="170">
        <v>1.35</v>
      </c>
      <c r="K117" s="170">
        <v>5.45</v>
      </c>
      <c r="L117" s="170">
        <v>3.39</v>
      </c>
    </row>
    <row r="118" spans="8:20" ht="16" thickTop="1" thickBot="1"/>
    <row r="119" spans="8:20" ht="16" thickTop="1" thickBot="1">
      <c r="M119" s="142"/>
      <c r="T119" s="156"/>
    </row>
    <row r="120" spans="8:20" ht="16" thickTop="1">
      <c r="H120" s="171"/>
      <c r="I120" s="207" t="s">
        <v>282</v>
      </c>
      <c r="J120" s="208"/>
      <c r="K120" s="208"/>
      <c r="L120" s="208"/>
      <c r="M120" s="172"/>
    </row>
    <row r="121" spans="8:20" ht="15">
      <c r="H121" s="173" t="s">
        <v>278</v>
      </c>
      <c r="I121" s="164" t="s">
        <v>279</v>
      </c>
      <c r="J121" s="164" t="s">
        <v>270</v>
      </c>
      <c r="K121" s="164"/>
      <c r="L121" s="164" t="s">
        <v>268</v>
      </c>
      <c r="M121" s="164"/>
    </row>
    <row r="122" spans="8:20" ht="15">
      <c r="H122" s="168" t="s">
        <v>21</v>
      </c>
      <c r="I122" s="168" t="s">
        <v>273</v>
      </c>
      <c r="J122" s="168" t="s">
        <v>271</v>
      </c>
      <c r="K122" s="168" t="s">
        <v>272</v>
      </c>
      <c r="L122" s="168" t="s">
        <v>276</v>
      </c>
      <c r="M122" s="168"/>
    </row>
    <row r="123" spans="8:20" ht="15">
      <c r="H123" s="164" t="s">
        <v>269</v>
      </c>
      <c r="I123" s="164" t="s">
        <v>274</v>
      </c>
      <c r="J123" s="174">
        <v>4442.72</v>
      </c>
      <c r="K123" s="174">
        <v>1658.57</v>
      </c>
      <c r="L123" s="174">
        <v>877.84</v>
      </c>
      <c r="M123" s="175"/>
    </row>
    <row r="124" spans="8:20" ht="15">
      <c r="H124" s="164" t="s">
        <v>269</v>
      </c>
      <c r="I124" s="164" t="s">
        <v>269</v>
      </c>
      <c r="J124" s="174">
        <v>2433.39</v>
      </c>
      <c r="K124" s="174">
        <v>994.48</v>
      </c>
      <c r="L124" s="174">
        <v>202.4</v>
      </c>
      <c r="M124" s="175"/>
    </row>
    <row r="125" spans="8:20" ht="15">
      <c r="H125" s="164" t="s">
        <v>269</v>
      </c>
      <c r="I125" s="176" t="s">
        <v>275</v>
      </c>
      <c r="J125" s="177">
        <v>631.91999999999996</v>
      </c>
      <c r="K125" s="177">
        <v>109.03</v>
      </c>
      <c r="L125" s="177">
        <v>-528.66</v>
      </c>
      <c r="M125" s="175"/>
    </row>
    <row r="126" spans="8:20" ht="15">
      <c r="H126" s="164" t="s">
        <v>280</v>
      </c>
      <c r="I126" s="164" t="s">
        <v>274</v>
      </c>
      <c r="J126" s="177">
        <v>3126.26</v>
      </c>
      <c r="K126" s="174">
        <v>1658.57</v>
      </c>
      <c r="L126" s="174">
        <v>877.84</v>
      </c>
      <c r="M126" s="175"/>
    </row>
    <row r="127" spans="8:20" ht="15">
      <c r="H127" s="164" t="s">
        <v>280</v>
      </c>
      <c r="I127" s="164" t="s">
        <v>269</v>
      </c>
      <c r="J127" s="177">
        <v>1317.86</v>
      </c>
      <c r="K127" s="174">
        <v>994.48</v>
      </c>
      <c r="L127" s="174">
        <v>202.4</v>
      </c>
      <c r="M127" s="175"/>
    </row>
    <row r="128" spans="8:20" ht="15">
      <c r="H128" s="164" t="s">
        <v>280</v>
      </c>
      <c r="I128" s="176" t="s">
        <v>275</v>
      </c>
      <c r="J128" s="177">
        <v>-303.45999999999998</v>
      </c>
      <c r="K128" s="177">
        <v>109.03</v>
      </c>
      <c r="L128" s="177">
        <v>-528.66</v>
      </c>
      <c r="M128" s="175"/>
    </row>
    <row r="129" spans="8:19" ht="15">
      <c r="H129" s="164" t="s">
        <v>281</v>
      </c>
      <c r="I129" s="164" t="s">
        <v>274</v>
      </c>
      <c r="J129" s="177">
        <v>1809.8</v>
      </c>
      <c r="K129" s="174">
        <v>1658.57</v>
      </c>
      <c r="L129" s="174">
        <v>877.84</v>
      </c>
      <c r="M129" s="175"/>
    </row>
    <row r="130" spans="8:19" ht="15">
      <c r="H130" s="164" t="s">
        <v>281</v>
      </c>
      <c r="I130" s="164" t="s">
        <v>269</v>
      </c>
      <c r="J130" s="177">
        <v>202.34</v>
      </c>
      <c r="K130" s="174">
        <v>994.48</v>
      </c>
      <c r="L130" s="174">
        <v>202.4</v>
      </c>
      <c r="M130" s="175"/>
    </row>
    <row r="131" spans="8:19" ht="16" thickBot="1">
      <c r="H131" s="166" t="s">
        <v>281</v>
      </c>
      <c r="I131" s="166" t="s">
        <v>275</v>
      </c>
      <c r="J131" s="178">
        <v>-1238.8399999999999</v>
      </c>
      <c r="K131" s="178">
        <v>109.03</v>
      </c>
      <c r="L131" s="178">
        <v>-528.66</v>
      </c>
      <c r="M131" s="179"/>
    </row>
    <row r="132" spans="8:19" ht="15" thickTop="1">
      <c r="O132" t="s">
        <v>277</v>
      </c>
      <c r="P132" t="s">
        <v>274</v>
      </c>
      <c r="Q132" s="159">
        <v>1151.57</v>
      </c>
      <c r="R132" s="204">
        <v>1658.57</v>
      </c>
      <c r="S132" s="157">
        <v>877.84</v>
      </c>
    </row>
    <row r="133" spans="8:19">
      <c r="O133" t="s">
        <v>277</v>
      </c>
      <c r="P133" t="s">
        <v>269</v>
      </c>
      <c r="Q133" s="159">
        <v>-355.43</v>
      </c>
      <c r="R133" s="204">
        <v>994.48</v>
      </c>
      <c r="S133" s="157">
        <v>202.4</v>
      </c>
    </row>
    <row r="134" spans="8:19" ht="15" thickBot="1">
      <c r="O134" s="142" t="s">
        <v>277</v>
      </c>
      <c r="P134" s="142" t="s">
        <v>275</v>
      </c>
      <c r="Q134" s="160">
        <v>-1706.53</v>
      </c>
      <c r="R134" s="205">
        <v>109.03</v>
      </c>
      <c r="S134" s="158">
        <v>-528.66</v>
      </c>
    </row>
    <row r="135" spans="8:19" ht="15" thickTop="1">
      <c r="Q135" s="156"/>
    </row>
    <row r="136" spans="8:19">
      <c r="Q136" s="147"/>
    </row>
  </sheetData>
  <sheetProtection password="8892" sheet="1" objects="1" scenarios="1" selectLockedCells="1"/>
  <mergeCells count="2">
    <mergeCell ref="I112:L112"/>
    <mergeCell ref="I120:L120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zoomScale="80" zoomScaleNormal="80" zoomScalePageLayoutView="80" workbookViewId="0">
      <selection activeCell="F4" sqref="F4"/>
    </sheetView>
  </sheetViews>
  <sheetFormatPr baseColWidth="10" defaultColWidth="8.83203125" defaultRowHeight="14" x14ac:dyDescent="0"/>
  <cols>
    <col min="1" max="1" width="22" bestFit="1" customWidth="1"/>
    <col min="2" max="2" width="22" customWidth="1"/>
    <col min="3" max="3" width="13.5" bestFit="1" customWidth="1"/>
    <col min="4" max="4" width="11" customWidth="1"/>
    <col min="6" max="6" width="16.5" bestFit="1" customWidth="1"/>
    <col min="7" max="9" width="15" customWidth="1"/>
    <col min="10" max="10" width="19.5" bestFit="1" customWidth="1"/>
    <col min="11" max="11" width="13.5" bestFit="1" customWidth="1"/>
    <col min="12" max="17" width="12" bestFit="1" customWidth="1"/>
    <col min="18" max="21" width="10.83203125" bestFit="1" customWidth="1"/>
  </cols>
  <sheetData>
    <row r="1" spans="1:21" ht="20">
      <c r="F1" s="73" t="s">
        <v>102</v>
      </c>
      <c r="K1" s="209" t="s">
        <v>130</v>
      </c>
      <c r="L1" s="209"/>
      <c r="M1" s="209"/>
      <c r="N1" s="209"/>
      <c r="O1" s="209"/>
      <c r="P1" s="209"/>
      <c r="Q1" s="209"/>
      <c r="R1" s="209"/>
      <c r="S1" s="209"/>
      <c r="T1" s="209"/>
    </row>
    <row r="2" spans="1:21">
      <c r="B2" t="s">
        <v>286</v>
      </c>
      <c r="H2" t="s">
        <v>288</v>
      </c>
      <c r="I2" t="s">
        <v>290</v>
      </c>
      <c r="K2" s="69" t="s">
        <v>105</v>
      </c>
      <c r="L2" s="69" t="s">
        <v>105</v>
      </c>
      <c r="M2" s="69" t="s">
        <v>105</v>
      </c>
      <c r="N2" s="69" t="s">
        <v>105</v>
      </c>
      <c r="O2" s="69" t="s">
        <v>105</v>
      </c>
      <c r="P2" s="69" t="s">
        <v>105</v>
      </c>
      <c r="Q2" s="69" t="s">
        <v>105</v>
      </c>
      <c r="R2" s="69" t="s">
        <v>105</v>
      </c>
      <c r="S2" s="69" t="s">
        <v>105</v>
      </c>
      <c r="T2" s="69" t="s">
        <v>105</v>
      </c>
      <c r="U2" s="69"/>
    </row>
    <row r="3" spans="1:21" ht="15" thickBot="1">
      <c r="A3" s="1" t="s">
        <v>104</v>
      </c>
      <c r="B3" s="1" t="s">
        <v>287</v>
      </c>
      <c r="C3" s="1" t="s">
        <v>103</v>
      </c>
      <c r="D3" s="1" t="s">
        <v>123</v>
      </c>
      <c r="E3" s="1" t="s">
        <v>105</v>
      </c>
      <c r="F3" s="1" t="s">
        <v>106</v>
      </c>
      <c r="G3" s="1" t="s">
        <v>218</v>
      </c>
      <c r="H3" s="1" t="s">
        <v>289</v>
      </c>
      <c r="I3" s="1" t="s">
        <v>289</v>
      </c>
      <c r="J3" s="75" t="s">
        <v>131</v>
      </c>
      <c r="K3" s="76">
        <v>1</v>
      </c>
      <c r="L3" s="77">
        <v>2</v>
      </c>
      <c r="M3" s="76">
        <v>3</v>
      </c>
      <c r="N3" s="77">
        <v>4</v>
      </c>
      <c r="O3" s="76">
        <v>5</v>
      </c>
      <c r="P3" s="77">
        <v>6</v>
      </c>
      <c r="Q3" s="76">
        <v>7</v>
      </c>
      <c r="R3" s="77">
        <v>8</v>
      </c>
      <c r="S3" s="76">
        <v>9</v>
      </c>
      <c r="T3" s="77">
        <v>10</v>
      </c>
      <c r="U3" s="76"/>
    </row>
    <row r="4" spans="1:21">
      <c r="A4" t="s">
        <v>121</v>
      </c>
      <c r="B4">
        <v>40</v>
      </c>
      <c r="C4" t="s">
        <v>112</v>
      </c>
      <c r="D4">
        <v>3005</v>
      </c>
      <c r="E4">
        <v>2010</v>
      </c>
      <c r="F4" s="198">
        <v>12500</v>
      </c>
      <c r="H4">
        <f>ROUNDUP('Budget Display'!$D$5/B4,0)</f>
        <v>3</v>
      </c>
      <c r="I4" s="78">
        <f>F4*H4</f>
        <v>37500</v>
      </c>
      <c r="J4" s="78">
        <f t="shared" ref="J4:J5" si="0">F4*0.1</f>
        <v>1250</v>
      </c>
      <c r="K4" s="78">
        <f t="shared" ref="K4:T4" si="1">$F$4-($J$4*K3)</f>
        <v>11250</v>
      </c>
      <c r="L4" s="78">
        <f t="shared" si="1"/>
        <v>10000</v>
      </c>
      <c r="M4" s="78">
        <f t="shared" si="1"/>
        <v>8750</v>
      </c>
      <c r="N4" s="78">
        <f t="shared" si="1"/>
        <v>7500</v>
      </c>
      <c r="O4" s="78">
        <f t="shared" si="1"/>
        <v>6250</v>
      </c>
      <c r="P4" s="78">
        <f t="shared" si="1"/>
        <v>5000</v>
      </c>
      <c r="Q4" s="78">
        <f t="shared" si="1"/>
        <v>3750</v>
      </c>
      <c r="R4" s="78">
        <f t="shared" si="1"/>
        <v>2500</v>
      </c>
      <c r="S4" s="78">
        <f t="shared" si="1"/>
        <v>1250</v>
      </c>
      <c r="T4" s="78">
        <f t="shared" si="1"/>
        <v>0</v>
      </c>
    </row>
    <row r="5" spans="1:21">
      <c r="A5" t="s">
        <v>122</v>
      </c>
      <c r="B5">
        <v>100</v>
      </c>
      <c r="C5" t="s">
        <v>112</v>
      </c>
      <c r="D5">
        <v>7130</v>
      </c>
      <c r="E5">
        <v>2010</v>
      </c>
      <c r="F5" s="198">
        <v>66000</v>
      </c>
      <c r="H5">
        <f>ROUNDUP('Budget Display'!$D$5/B5,0)</f>
        <v>1</v>
      </c>
      <c r="I5" s="78">
        <f t="shared" ref="I5:I18" si="2">F5*H5</f>
        <v>66000</v>
      </c>
      <c r="J5" s="78">
        <f t="shared" si="0"/>
        <v>6600</v>
      </c>
      <c r="K5" s="78">
        <f t="shared" ref="K5:T5" si="3">$F$5-($J$5*K3)</f>
        <v>59400</v>
      </c>
      <c r="L5" s="78">
        <f t="shared" si="3"/>
        <v>52800</v>
      </c>
      <c r="M5" s="78">
        <f t="shared" si="3"/>
        <v>46200</v>
      </c>
      <c r="N5" s="78">
        <f t="shared" si="3"/>
        <v>39600</v>
      </c>
      <c r="O5" s="78">
        <f t="shared" si="3"/>
        <v>33000</v>
      </c>
      <c r="P5" s="78">
        <f t="shared" si="3"/>
        <v>26400</v>
      </c>
      <c r="Q5" s="78">
        <f t="shared" si="3"/>
        <v>19800</v>
      </c>
      <c r="R5" s="78">
        <f t="shared" si="3"/>
        <v>13200</v>
      </c>
      <c r="S5" s="78">
        <f t="shared" si="3"/>
        <v>6600</v>
      </c>
      <c r="T5" s="78">
        <f t="shared" si="3"/>
        <v>0</v>
      </c>
    </row>
    <row r="6" spans="1:21">
      <c r="A6" t="s">
        <v>132</v>
      </c>
      <c r="B6">
        <v>40</v>
      </c>
      <c r="C6" t="s">
        <v>124</v>
      </c>
      <c r="D6">
        <v>8261</v>
      </c>
      <c r="E6">
        <v>2010</v>
      </c>
      <c r="F6" s="198">
        <v>22935</v>
      </c>
      <c r="H6">
        <f>ROUNDUP('Budget Display'!$D$5/B6,0)</f>
        <v>3</v>
      </c>
      <c r="I6" s="78">
        <f t="shared" si="2"/>
        <v>68805</v>
      </c>
      <c r="J6" s="78">
        <f>F6*0.1</f>
        <v>2293.5</v>
      </c>
      <c r="K6" s="78">
        <f t="shared" ref="K6:T6" si="4">$F$6-($J$6*K3)</f>
        <v>20641.5</v>
      </c>
      <c r="L6" s="78">
        <f t="shared" si="4"/>
        <v>18348</v>
      </c>
      <c r="M6" s="78">
        <f t="shared" si="4"/>
        <v>16054.5</v>
      </c>
      <c r="N6" s="78">
        <f t="shared" si="4"/>
        <v>13761</v>
      </c>
      <c r="O6" s="78">
        <f t="shared" si="4"/>
        <v>11467.5</v>
      </c>
      <c r="P6" s="78">
        <f t="shared" si="4"/>
        <v>9174</v>
      </c>
      <c r="Q6" s="78">
        <f t="shared" si="4"/>
        <v>6880.5</v>
      </c>
      <c r="R6" s="78">
        <f t="shared" si="4"/>
        <v>4587</v>
      </c>
      <c r="S6" s="78">
        <f t="shared" si="4"/>
        <v>2293.5</v>
      </c>
      <c r="T6" s="78">
        <f t="shared" si="4"/>
        <v>0</v>
      </c>
    </row>
    <row r="7" spans="1:21">
      <c r="A7" t="s">
        <v>125</v>
      </c>
      <c r="B7">
        <v>100</v>
      </c>
      <c r="C7" t="s">
        <v>124</v>
      </c>
      <c r="E7">
        <v>2010</v>
      </c>
      <c r="F7" s="198">
        <v>4100</v>
      </c>
      <c r="H7">
        <f>ROUNDUP('Budget Display'!$D$5/B7,0)</f>
        <v>1</v>
      </c>
      <c r="I7" s="78">
        <f t="shared" si="2"/>
        <v>4100</v>
      </c>
      <c r="J7" s="78">
        <f>F7*0.1</f>
        <v>410</v>
      </c>
      <c r="K7" s="78">
        <f t="shared" ref="K7:T7" si="5">$F$7-($J$7*K3)</f>
        <v>3690</v>
      </c>
      <c r="L7" s="78">
        <f t="shared" si="5"/>
        <v>3280</v>
      </c>
      <c r="M7" s="78">
        <f t="shared" si="5"/>
        <v>2870</v>
      </c>
      <c r="N7" s="78">
        <f t="shared" si="5"/>
        <v>2460</v>
      </c>
      <c r="O7" s="78">
        <f t="shared" si="5"/>
        <v>2050</v>
      </c>
      <c r="P7" s="78">
        <f t="shared" si="5"/>
        <v>1640</v>
      </c>
      <c r="Q7" s="78">
        <f t="shared" si="5"/>
        <v>1230</v>
      </c>
      <c r="R7" s="78">
        <f t="shared" si="5"/>
        <v>820</v>
      </c>
      <c r="S7" s="78">
        <f t="shared" si="5"/>
        <v>410</v>
      </c>
      <c r="T7" s="78">
        <f t="shared" si="5"/>
        <v>0</v>
      </c>
    </row>
    <row r="8" spans="1:21">
      <c r="A8" t="s">
        <v>126</v>
      </c>
      <c r="B8">
        <v>100</v>
      </c>
      <c r="C8" t="s">
        <v>124</v>
      </c>
      <c r="E8">
        <v>2010</v>
      </c>
      <c r="F8" s="198">
        <v>800</v>
      </c>
      <c r="H8">
        <f>ROUNDUP('Budget Display'!$D$5/B8,0)</f>
        <v>1</v>
      </c>
      <c r="I8" s="78">
        <f t="shared" si="2"/>
        <v>800</v>
      </c>
      <c r="J8" s="78">
        <f t="shared" ref="J8:J17" si="6">F8*0.1</f>
        <v>80</v>
      </c>
      <c r="K8" s="78">
        <f t="shared" ref="K8:T8" si="7">$F$8-($J$8*K3)</f>
        <v>720</v>
      </c>
      <c r="L8" s="78">
        <f t="shared" si="7"/>
        <v>640</v>
      </c>
      <c r="M8" s="78">
        <f t="shared" si="7"/>
        <v>560</v>
      </c>
      <c r="N8" s="78">
        <f t="shared" si="7"/>
        <v>480</v>
      </c>
      <c r="O8" s="78">
        <f t="shared" si="7"/>
        <v>400</v>
      </c>
      <c r="P8" s="78">
        <f t="shared" si="7"/>
        <v>320</v>
      </c>
      <c r="Q8" s="78">
        <f t="shared" si="7"/>
        <v>240</v>
      </c>
      <c r="R8" s="78">
        <f t="shared" si="7"/>
        <v>160</v>
      </c>
      <c r="S8" s="78">
        <f t="shared" si="7"/>
        <v>80</v>
      </c>
      <c r="T8" s="78">
        <f t="shared" si="7"/>
        <v>0</v>
      </c>
    </row>
    <row r="9" spans="1:21">
      <c r="A9" t="s">
        <v>127</v>
      </c>
      <c r="B9">
        <v>40</v>
      </c>
      <c r="C9" t="s">
        <v>124</v>
      </c>
      <c r="E9">
        <v>2010</v>
      </c>
      <c r="F9" s="198">
        <v>8385</v>
      </c>
      <c r="H9">
        <f>ROUNDUP('Budget Display'!$D$5/B9,0)</f>
        <v>3</v>
      </c>
      <c r="I9" s="78">
        <f t="shared" si="2"/>
        <v>25155</v>
      </c>
      <c r="J9" s="78">
        <f t="shared" si="6"/>
        <v>838.5</v>
      </c>
      <c r="K9" s="78">
        <f t="shared" ref="K9:T9" si="8">$F$9-($J$9*K3)</f>
        <v>7546.5</v>
      </c>
      <c r="L9" s="78">
        <f t="shared" si="8"/>
        <v>6708</v>
      </c>
      <c r="M9" s="78">
        <f t="shared" si="8"/>
        <v>5869.5</v>
      </c>
      <c r="N9" s="78">
        <f t="shared" si="8"/>
        <v>5031</v>
      </c>
      <c r="O9" s="78">
        <f t="shared" si="8"/>
        <v>4192.5</v>
      </c>
      <c r="P9" s="78">
        <f t="shared" si="8"/>
        <v>3354</v>
      </c>
      <c r="Q9" s="78">
        <f t="shared" si="8"/>
        <v>2515.5</v>
      </c>
      <c r="R9" s="78">
        <f t="shared" si="8"/>
        <v>1677</v>
      </c>
      <c r="S9" s="78">
        <f t="shared" si="8"/>
        <v>838.5</v>
      </c>
      <c r="T9" s="78">
        <f t="shared" si="8"/>
        <v>0</v>
      </c>
    </row>
    <row r="10" spans="1:21">
      <c r="A10" t="s">
        <v>136</v>
      </c>
      <c r="B10">
        <v>100</v>
      </c>
      <c r="C10" t="s">
        <v>124</v>
      </c>
      <c r="E10">
        <v>2010</v>
      </c>
      <c r="F10" s="198">
        <v>12500</v>
      </c>
      <c r="H10">
        <f>ROUNDUP('Budget Display'!$D$5/B10,0)</f>
        <v>1</v>
      </c>
      <c r="I10" s="78">
        <f t="shared" si="2"/>
        <v>12500</v>
      </c>
      <c r="J10" s="78">
        <f t="shared" si="6"/>
        <v>1250</v>
      </c>
      <c r="K10" s="78">
        <f t="shared" ref="K10:T10" si="9">$F$10-($J$10*K3)</f>
        <v>11250</v>
      </c>
      <c r="L10" s="78">
        <f t="shared" si="9"/>
        <v>10000</v>
      </c>
      <c r="M10" s="78">
        <f t="shared" si="9"/>
        <v>8750</v>
      </c>
      <c r="N10" s="78">
        <f t="shared" si="9"/>
        <v>7500</v>
      </c>
      <c r="O10" s="78">
        <f t="shared" si="9"/>
        <v>6250</v>
      </c>
      <c r="P10" s="78">
        <f t="shared" si="9"/>
        <v>5000</v>
      </c>
      <c r="Q10" s="78">
        <f t="shared" si="9"/>
        <v>3750</v>
      </c>
      <c r="R10" s="78">
        <f t="shared" si="9"/>
        <v>2500</v>
      </c>
      <c r="S10" s="78">
        <f t="shared" si="9"/>
        <v>1250</v>
      </c>
      <c r="T10" s="78">
        <f t="shared" si="9"/>
        <v>0</v>
      </c>
    </row>
    <row r="11" spans="1:21">
      <c r="A11" t="s">
        <v>138</v>
      </c>
      <c r="B11">
        <v>40</v>
      </c>
      <c r="C11" t="s">
        <v>133</v>
      </c>
      <c r="E11">
        <v>2010</v>
      </c>
      <c r="F11" s="198">
        <v>3000</v>
      </c>
      <c r="H11">
        <f>ROUNDUP('Budget Display'!$D$5/B11,0)</f>
        <v>3</v>
      </c>
      <c r="I11" s="78">
        <f t="shared" si="2"/>
        <v>9000</v>
      </c>
      <c r="J11" s="78">
        <f t="shared" si="6"/>
        <v>300</v>
      </c>
      <c r="K11" s="78">
        <f t="shared" ref="K11:T11" si="10">$F$11-($J$11*K3)</f>
        <v>2700</v>
      </c>
      <c r="L11" s="78">
        <f t="shared" si="10"/>
        <v>2400</v>
      </c>
      <c r="M11" s="78">
        <f t="shared" si="10"/>
        <v>2100</v>
      </c>
      <c r="N11" s="78">
        <f t="shared" si="10"/>
        <v>1800</v>
      </c>
      <c r="O11" s="78">
        <f t="shared" si="10"/>
        <v>1500</v>
      </c>
      <c r="P11" s="78">
        <f t="shared" si="10"/>
        <v>1200</v>
      </c>
      <c r="Q11" s="78">
        <f t="shared" si="10"/>
        <v>900</v>
      </c>
      <c r="R11" s="78">
        <f t="shared" si="10"/>
        <v>600</v>
      </c>
      <c r="S11" s="78">
        <f t="shared" si="10"/>
        <v>300</v>
      </c>
      <c r="T11" s="78">
        <f t="shared" si="10"/>
        <v>0</v>
      </c>
    </row>
    <row r="12" spans="1:21">
      <c r="A12" t="s">
        <v>138</v>
      </c>
      <c r="B12">
        <v>40</v>
      </c>
      <c r="C12" t="s">
        <v>133</v>
      </c>
      <c r="E12">
        <v>2010</v>
      </c>
      <c r="F12" s="198">
        <v>3000</v>
      </c>
      <c r="H12">
        <f>ROUNDUP('Budget Display'!$D$5/B12,0)</f>
        <v>3</v>
      </c>
      <c r="I12" s="78">
        <f t="shared" si="2"/>
        <v>9000</v>
      </c>
      <c r="J12" s="78">
        <f t="shared" si="6"/>
        <v>300</v>
      </c>
      <c r="K12" s="78">
        <f t="shared" ref="K12:T12" si="11">$F$12-($J$12*K3)</f>
        <v>2700</v>
      </c>
      <c r="L12" s="78">
        <f t="shared" si="11"/>
        <v>2400</v>
      </c>
      <c r="M12" s="78">
        <f t="shared" si="11"/>
        <v>2100</v>
      </c>
      <c r="N12" s="78">
        <f t="shared" si="11"/>
        <v>1800</v>
      </c>
      <c r="O12" s="78">
        <f t="shared" si="11"/>
        <v>1500</v>
      </c>
      <c r="P12" s="78">
        <f t="shared" si="11"/>
        <v>1200</v>
      </c>
      <c r="Q12" s="78">
        <f t="shared" si="11"/>
        <v>900</v>
      </c>
      <c r="R12" s="78">
        <f t="shared" si="11"/>
        <v>600</v>
      </c>
      <c r="S12" s="78">
        <f t="shared" si="11"/>
        <v>300</v>
      </c>
      <c r="T12" s="78">
        <f t="shared" si="11"/>
        <v>0</v>
      </c>
    </row>
    <row r="13" spans="1:21">
      <c r="A13" t="s">
        <v>128</v>
      </c>
      <c r="B13">
        <v>100</v>
      </c>
      <c r="C13" t="s">
        <v>124</v>
      </c>
      <c r="D13" s="87">
        <v>2138</v>
      </c>
      <c r="E13">
        <v>2010</v>
      </c>
      <c r="F13" s="198">
        <v>7985</v>
      </c>
      <c r="H13">
        <f>ROUNDUP('Budget Display'!$D$5/B13,0)</f>
        <v>1</v>
      </c>
      <c r="I13" s="78">
        <f t="shared" si="2"/>
        <v>7985</v>
      </c>
      <c r="J13" s="78">
        <f t="shared" si="6"/>
        <v>798.5</v>
      </c>
      <c r="K13" s="78">
        <f t="shared" ref="K13:T13" si="12">$F$13-($J$13*K3)</f>
        <v>7186.5</v>
      </c>
      <c r="L13" s="78">
        <f t="shared" si="12"/>
        <v>6388</v>
      </c>
      <c r="M13" s="78">
        <f t="shared" si="12"/>
        <v>5589.5</v>
      </c>
      <c r="N13" s="78">
        <f t="shared" si="12"/>
        <v>4791</v>
      </c>
      <c r="O13" s="78">
        <f t="shared" si="12"/>
        <v>3992.5</v>
      </c>
      <c r="P13" s="78">
        <f t="shared" si="12"/>
        <v>3194</v>
      </c>
      <c r="Q13" s="78">
        <f t="shared" si="12"/>
        <v>2395.5</v>
      </c>
      <c r="R13" s="78">
        <f t="shared" si="12"/>
        <v>1597</v>
      </c>
      <c r="S13" s="78">
        <f t="shared" si="12"/>
        <v>798.5</v>
      </c>
      <c r="T13" s="78">
        <f t="shared" si="12"/>
        <v>0</v>
      </c>
    </row>
    <row r="14" spans="1:21">
      <c r="A14" t="s">
        <v>183</v>
      </c>
      <c r="B14">
        <v>100</v>
      </c>
      <c r="C14" t="s">
        <v>112</v>
      </c>
      <c r="D14" s="87"/>
      <c r="E14">
        <v>2010</v>
      </c>
      <c r="F14" s="198">
        <v>2926</v>
      </c>
      <c r="H14">
        <f>ROUNDUP('Budget Display'!$D$5/B14,0)</f>
        <v>1</v>
      </c>
      <c r="I14" s="78">
        <f t="shared" si="2"/>
        <v>2926</v>
      </c>
      <c r="J14" s="78">
        <f t="shared" si="6"/>
        <v>292.60000000000002</v>
      </c>
      <c r="K14" s="78">
        <f t="shared" ref="K14:T14" si="13">$F$14-($J$14*K3)</f>
        <v>2633.4</v>
      </c>
      <c r="L14" s="78">
        <f t="shared" si="13"/>
        <v>2340.8000000000002</v>
      </c>
      <c r="M14" s="78">
        <f t="shared" si="13"/>
        <v>2048.1999999999998</v>
      </c>
      <c r="N14" s="78">
        <f t="shared" si="13"/>
        <v>1755.6</v>
      </c>
      <c r="O14" s="78">
        <f t="shared" si="13"/>
        <v>1463</v>
      </c>
      <c r="P14" s="78">
        <f t="shared" si="13"/>
        <v>1170.3999999999999</v>
      </c>
      <c r="Q14" s="78">
        <f t="shared" si="13"/>
        <v>877.79999999999973</v>
      </c>
      <c r="R14" s="78">
        <f t="shared" si="13"/>
        <v>585.19999999999982</v>
      </c>
      <c r="S14" s="78">
        <f t="shared" si="13"/>
        <v>292.59999999999991</v>
      </c>
      <c r="T14" s="78">
        <f t="shared" si="13"/>
        <v>0</v>
      </c>
    </row>
    <row r="15" spans="1:21">
      <c r="A15" t="s">
        <v>129</v>
      </c>
      <c r="B15">
        <v>100</v>
      </c>
      <c r="C15" t="s">
        <v>155</v>
      </c>
      <c r="D15" s="87" t="s">
        <v>156</v>
      </c>
      <c r="E15">
        <v>2010</v>
      </c>
      <c r="F15" s="198">
        <v>5999</v>
      </c>
      <c r="H15">
        <f>ROUNDUP('Budget Display'!$D$5/B15,0)</f>
        <v>1</v>
      </c>
      <c r="I15" s="78">
        <f t="shared" si="2"/>
        <v>5999</v>
      </c>
      <c r="J15" s="78">
        <f t="shared" si="6"/>
        <v>599.9</v>
      </c>
      <c r="K15" s="78">
        <f t="shared" ref="K15:T15" si="14">$F$15-($J$15*K3)</f>
        <v>5399.1</v>
      </c>
      <c r="L15" s="78">
        <f t="shared" si="14"/>
        <v>4799.2</v>
      </c>
      <c r="M15" s="78">
        <f t="shared" si="14"/>
        <v>4199.3</v>
      </c>
      <c r="N15" s="78">
        <f t="shared" si="14"/>
        <v>3599.4</v>
      </c>
      <c r="O15" s="78">
        <f t="shared" si="14"/>
        <v>2999.5</v>
      </c>
      <c r="P15" s="78">
        <f t="shared" si="14"/>
        <v>2399.6000000000004</v>
      </c>
      <c r="Q15" s="78">
        <f t="shared" si="14"/>
        <v>1799.6999999999998</v>
      </c>
      <c r="R15" s="78">
        <f t="shared" si="14"/>
        <v>1199.8000000000002</v>
      </c>
      <c r="S15" s="78">
        <f t="shared" si="14"/>
        <v>599.90000000000055</v>
      </c>
      <c r="T15" s="78">
        <f t="shared" si="14"/>
        <v>0</v>
      </c>
    </row>
    <row r="16" spans="1:21">
      <c r="A16" t="s">
        <v>184</v>
      </c>
      <c r="B16">
        <v>100</v>
      </c>
      <c r="C16" t="s">
        <v>112</v>
      </c>
      <c r="D16" s="87" t="s">
        <v>154</v>
      </c>
      <c r="E16">
        <v>2010</v>
      </c>
      <c r="F16" s="198">
        <v>17555</v>
      </c>
      <c r="H16">
        <f>ROUNDUP('Budget Display'!$D$5/B16,0)</f>
        <v>1</v>
      </c>
      <c r="I16" s="78">
        <f t="shared" si="2"/>
        <v>17555</v>
      </c>
      <c r="J16" s="78">
        <f t="shared" si="6"/>
        <v>1755.5</v>
      </c>
      <c r="K16" s="78">
        <f t="shared" ref="K16:T16" si="15">$F$16-($J$16*K3)</f>
        <v>15799.5</v>
      </c>
      <c r="L16" s="78">
        <f t="shared" si="15"/>
        <v>14044</v>
      </c>
      <c r="M16" s="78">
        <f t="shared" si="15"/>
        <v>12288.5</v>
      </c>
      <c r="N16" s="78">
        <f t="shared" si="15"/>
        <v>10533</v>
      </c>
      <c r="O16" s="78">
        <f t="shared" si="15"/>
        <v>8777.5</v>
      </c>
      <c r="P16" s="78">
        <f t="shared" si="15"/>
        <v>7022</v>
      </c>
      <c r="Q16" s="78">
        <f t="shared" si="15"/>
        <v>5266.5</v>
      </c>
      <c r="R16" s="78">
        <f t="shared" si="15"/>
        <v>3511</v>
      </c>
      <c r="S16" s="78">
        <f t="shared" si="15"/>
        <v>1755.5</v>
      </c>
      <c r="T16" s="78">
        <f t="shared" si="15"/>
        <v>0</v>
      </c>
    </row>
    <row r="17" spans="1:22">
      <c r="A17" t="s">
        <v>134</v>
      </c>
      <c r="B17">
        <v>1000</v>
      </c>
      <c r="C17" t="s">
        <v>124</v>
      </c>
      <c r="E17">
        <v>2010</v>
      </c>
      <c r="F17" s="198">
        <v>12885</v>
      </c>
      <c r="H17">
        <f>ROUNDUP('Budget Display'!$D$5/B17,0)</f>
        <v>1</v>
      </c>
      <c r="I17" s="78">
        <f t="shared" si="2"/>
        <v>12885</v>
      </c>
      <c r="J17" s="78">
        <f t="shared" si="6"/>
        <v>1288.5</v>
      </c>
      <c r="K17" s="78">
        <f t="shared" ref="K17:T17" si="16">$F$17-($J$17*K3)</f>
        <v>11596.5</v>
      </c>
      <c r="L17" s="78">
        <f t="shared" si="16"/>
        <v>10308</v>
      </c>
      <c r="M17" s="78">
        <f t="shared" si="16"/>
        <v>9019.5</v>
      </c>
      <c r="N17" s="78">
        <f t="shared" si="16"/>
        <v>7731</v>
      </c>
      <c r="O17" s="78">
        <f t="shared" si="16"/>
        <v>6442.5</v>
      </c>
      <c r="P17" s="78">
        <f t="shared" si="16"/>
        <v>5154</v>
      </c>
      <c r="Q17" s="78">
        <f t="shared" si="16"/>
        <v>3865.5</v>
      </c>
      <c r="R17" s="78">
        <f t="shared" si="16"/>
        <v>2577</v>
      </c>
      <c r="S17" s="78">
        <f t="shared" si="16"/>
        <v>1288.5</v>
      </c>
      <c r="T17" s="78">
        <f t="shared" si="16"/>
        <v>0</v>
      </c>
    </row>
    <row r="18" spans="1:22">
      <c r="A18" t="s">
        <v>137</v>
      </c>
      <c r="B18">
        <v>1000</v>
      </c>
      <c r="C18" t="s">
        <v>124</v>
      </c>
      <c r="E18">
        <v>2010</v>
      </c>
      <c r="F18" s="198">
        <v>3500</v>
      </c>
      <c r="H18">
        <f>ROUNDUP('Budget Display'!$D$5/B18,0)</f>
        <v>1</v>
      </c>
      <c r="I18" s="78">
        <f t="shared" si="2"/>
        <v>3500</v>
      </c>
      <c r="J18" s="78">
        <f>F18*0.1</f>
        <v>350</v>
      </c>
      <c r="K18" s="78">
        <f t="shared" ref="K18:T18" si="17">$F$18-($J$18*K3)</f>
        <v>3150</v>
      </c>
      <c r="L18" s="78">
        <f t="shared" si="17"/>
        <v>2800</v>
      </c>
      <c r="M18" s="78">
        <f t="shared" si="17"/>
        <v>2450</v>
      </c>
      <c r="N18" s="78">
        <f t="shared" si="17"/>
        <v>2100</v>
      </c>
      <c r="O18" s="78">
        <f t="shared" si="17"/>
        <v>1750</v>
      </c>
      <c r="P18" s="78">
        <f t="shared" si="17"/>
        <v>1400</v>
      </c>
      <c r="Q18" s="78">
        <f t="shared" si="17"/>
        <v>1050</v>
      </c>
      <c r="R18" s="78">
        <f t="shared" si="17"/>
        <v>700</v>
      </c>
      <c r="S18" s="78">
        <f t="shared" si="17"/>
        <v>350</v>
      </c>
      <c r="T18" s="78">
        <f t="shared" si="17"/>
        <v>0</v>
      </c>
    </row>
    <row r="23" spans="1:22">
      <c r="D23" t="s">
        <v>141</v>
      </c>
      <c r="F23" s="78">
        <f>IF('Budget Display'!D5&lt;21,SUM(F5:F9,F11:F15,F17:F18),IF('Budget Display'!D5&lt;100,SUM(F4:F9,F11:F13,F15:F18),SUM(I4:I8,I10:I13,I15:I18)))</f>
        <v>255629</v>
      </c>
      <c r="G23" t="str">
        <f>"in 8th Year"</f>
        <v>in 8th Year</v>
      </c>
      <c r="J23" s="78">
        <f>F23*0.1</f>
        <v>25562.9</v>
      </c>
      <c r="K23" t="str">
        <f>"Buying in 5th Year, Depreciated @ 15 Years"</f>
        <v>Buying in 5th Year, Depreciated @ 15 Years</v>
      </c>
    </row>
    <row r="24" spans="1:22">
      <c r="D24" t="s">
        <v>141</v>
      </c>
      <c r="F24" s="78">
        <f>IF('Budget Display'!D5&lt;21,SUM(F27:F29),IF('Budget Display'!D5&lt;100,SUM(F27:F29),SUM(F27:F29)))</f>
        <v>159000</v>
      </c>
      <c r="G24" t="str">
        <f>"in Year 1"</f>
        <v>in Year 1</v>
      </c>
      <c r="J24" s="78">
        <f>F24*0.1</f>
        <v>15900</v>
      </c>
      <c r="K24" t="str">
        <f>"Buying in Year 1, Depreciated @10 Years "</f>
        <v xml:space="preserve">Buying in Year 1, Depreciated @10 Years </v>
      </c>
    </row>
    <row r="27" spans="1:22">
      <c r="A27" t="s">
        <v>217</v>
      </c>
      <c r="F27" s="78">
        <f>G27*'Budget Display'!D5</f>
        <v>150000</v>
      </c>
      <c r="G27" s="198">
        <v>1500</v>
      </c>
      <c r="H27" s="137"/>
      <c r="I27" s="137"/>
      <c r="J27" s="78">
        <f>F27*0.1</f>
        <v>15000</v>
      </c>
      <c r="K27" s="78">
        <f t="shared" ref="K27:T27" si="18">$F$27-($J$27*K3)</f>
        <v>135000</v>
      </c>
      <c r="L27" s="78">
        <f t="shared" si="18"/>
        <v>120000</v>
      </c>
      <c r="M27" s="78">
        <f t="shared" si="18"/>
        <v>105000</v>
      </c>
      <c r="N27" s="78">
        <f t="shared" si="18"/>
        <v>90000</v>
      </c>
      <c r="O27" s="78">
        <f t="shared" si="18"/>
        <v>75000</v>
      </c>
      <c r="P27" s="78">
        <f t="shared" si="18"/>
        <v>60000</v>
      </c>
      <c r="Q27" s="78">
        <f t="shared" si="18"/>
        <v>45000</v>
      </c>
      <c r="R27" s="78">
        <f t="shared" si="18"/>
        <v>30000</v>
      </c>
      <c r="S27" s="78">
        <f t="shared" si="18"/>
        <v>15000</v>
      </c>
      <c r="T27" s="78">
        <f t="shared" si="18"/>
        <v>0</v>
      </c>
    </row>
    <row r="28" spans="1:22">
      <c r="A28" t="s">
        <v>216</v>
      </c>
      <c r="F28" s="198">
        <v>8000</v>
      </c>
      <c r="J28" s="78">
        <f>F28*0.1</f>
        <v>800</v>
      </c>
      <c r="K28" s="78">
        <f t="shared" ref="K28:T28" si="19">$F$28-($J$28*K3)</f>
        <v>7200</v>
      </c>
      <c r="L28" s="78">
        <f t="shared" si="19"/>
        <v>6400</v>
      </c>
      <c r="M28" s="78">
        <f t="shared" si="19"/>
        <v>5600</v>
      </c>
      <c r="N28" s="78">
        <f t="shared" si="19"/>
        <v>4800</v>
      </c>
      <c r="O28" s="78">
        <f t="shared" si="19"/>
        <v>4000</v>
      </c>
      <c r="P28" s="78">
        <f t="shared" si="19"/>
        <v>3200</v>
      </c>
      <c r="Q28" s="78">
        <f t="shared" si="19"/>
        <v>2400</v>
      </c>
      <c r="R28" s="78">
        <f t="shared" si="19"/>
        <v>1600</v>
      </c>
      <c r="S28" s="78">
        <f t="shared" si="19"/>
        <v>800</v>
      </c>
      <c r="T28" s="78">
        <f t="shared" si="19"/>
        <v>0</v>
      </c>
    </row>
    <row r="29" spans="1:22">
      <c r="A29" t="s">
        <v>135</v>
      </c>
      <c r="F29" s="198">
        <v>1000</v>
      </c>
      <c r="J29" s="78">
        <f>F29*0.1</f>
        <v>100</v>
      </c>
      <c r="K29" s="78">
        <f t="shared" ref="K29:T29" si="20">$F$29-($J$29*K3)</f>
        <v>900</v>
      </c>
      <c r="L29" s="78">
        <f t="shared" si="20"/>
        <v>800</v>
      </c>
      <c r="M29" s="78">
        <f t="shared" si="20"/>
        <v>700</v>
      </c>
      <c r="N29" s="78">
        <f t="shared" si="20"/>
        <v>600</v>
      </c>
      <c r="O29" s="78">
        <f t="shared" si="20"/>
        <v>500</v>
      </c>
      <c r="P29" s="78">
        <f t="shared" si="20"/>
        <v>400</v>
      </c>
      <c r="Q29" s="78">
        <f t="shared" si="20"/>
        <v>300</v>
      </c>
      <c r="R29" s="78">
        <f t="shared" si="20"/>
        <v>200</v>
      </c>
      <c r="S29" s="78">
        <f t="shared" si="20"/>
        <v>100</v>
      </c>
      <c r="T29" s="78">
        <f t="shared" si="20"/>
        <v>0</v>
      </c>
    </row>
    <row r="31" spans="1:22">
      <c r="E31" s="87" t="s">
        <v>222</v>
      </c>
      <c r="F31" s="78">
        <f>SUM(F27:F29)</f>
        <v>159000</v>
      </c>
      <c r="G31" s="78">
        <f>F31-SUM(J27:J29)</f>
        <v>143100</v>
      </c>
      <c r="H31" s="78"/>
      <c r="I31" s="78"/>
      <c r="J31" s="78">
        <f>SUM(L27:L29)</f>
        <v>127200</v>
      </c>
      <c r="K31" s="78">
        <f>SUM(M27:M29)</f>
        <v>111300</v>
      </c>
      <c r="L31" s="78">
        <f>SUM(N27:N29)+SUM(F4:F18)</f>
        <v>279470</v>
      </c>
      <c r="M31" s="78">
        <f>SUM(O27:O29)+SUM(K4:K18)</f>
        <v>245163</v>
      </c>
      <c r="N31" s="78">
        <f t="shared" ref="N31:T31" si="21">SUM(P27:P29)+SUM(L4:L18)</f>
        <v>210856</v>
      </c>
      <c r="O31" s="78">
        <f t="shared" si="21"/>
        <v>176549</v>
      </c>
      <c r="P31" s="78">
        <f t="shared" si="21"/>
        <v>142242</v>
      </c>
      <c r="Q31" s="78">
        <f t="shared" si="21"/>
        <v>107935</v>
      </c>
      <c r="R31" s="78">
        <f t="shared" si="21"/>
        <v>73628</v>
      </c>
      <c r="S31" s="78">
        <f t="shared" si="21"/>
        <v>55221</v>
      </c>
      <c r="T31" s="78">
        <f t="shared" si="21"/>
        <v>36814</v>
      </c>
      <c r="U31" s="78">
        <f>SUM(W27:W29)+SUM(S4:S18)</f>
        <v>18407</v>
      </c>
      <c r="V31" s="78">
        <f t="shared" ref="V31" si="22">SUM(X27:X29)+SUM(T4:T18)</f>
        <v>0</v>
      </c>
    </row>
  </sheetData>
  <sheetProtection password="8892" sheet="1" objects="1" scenarios="1" selectLockedCells="1"/>
  <mergeCells count="1">
    <mergeCell ref="K1:T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348"/>
  <sheetViews>
    <sheetView zoomScale="130" zoomScaleNormal="130" zoomScalePageLayoutView="130" workbookViewId="0">
      <selection activeCell="L8" sqref="L8"/>
    </sheetView>
  </sheetViews>
  <sheetFormatPr baseColWidth="10" defaultColWidth="8.83203125" defaultRowHeight="14" x14ac:dyDescent="0"/>
  <cols>
    <col min="6" max="6" width="14.5" bestFit="1" customWidth="1"/>
    <col min="7" max="7" width="8.1640625" bestFit="1" customWidth="1"/>
    <col min="9" max="9" width="6.5" bestFit="1" customWidth="1"/>
    <col min="11" max="11" width="15.5" bestFit="1" customWidth="1"/>
    <col min="12" max="12" width="11.83203125" customWidth="1"/>
  </cols>
  <sheetData>
    <row r="1" spans="1:7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</row>
    <row r="2" spans="1:7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1:7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1:7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1:7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1:71" ht="26" thickBot="1">
      <c r="A6" s="4"/>
      <c r="B6" s="4"/>
      <c r="C6" s="4"/>
      <c r="D6" s="4"/>
      <c r="E6" s="4"/>
      <c r="F6" s="28"/>
      <c r="G6" s="5"/>
      <c r="H6" s="5"/>
      <c r="I6" s="5"/>
      <c r="J6" s="43" t="s">
        <v>49</v>
      </c>
      <c r="K6" s="5"/>
      <c r="L6" s="5"/>
      <c r="M6" s="5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>
      <c r="A7" s="4"/>
      <c r="B7" s="4"/>
      <c r="C7" s="4"/>
      <c r="D7" s="4"/>
      <c r="E7" s="4"/>
      <c r="F7" s="56" t="s">
        <v>47</v>
      </c>
      <c r="G7" s="45" t="s">
        <v>50</v>
      </c>
      <c r="H7" s="45" t="s">
        <v>3</v>
      </c>
      <c r="I7" s="45" t="s">
        <v>51</v>
      </c>
      <c r="J7" s="45" t="s">
        <v>3</v>
      </c>
      <c r="K7" s="56" t="s">
        <v>74</v>
      </c>
      <c r="L7" s="45" t="s">
        <v>68</v>
      </c>
      <c r="M7" s="48" t="s">
        <v>69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>
      <c r="A8" s="4"/>
      <c r="B8" s="4"/>
      <c r="C8" s="4"/>
      <c r="D8" s="4"/>
      <c r="E8" s="56" t="s">
        <v>72</v>
      </c>
      <c r="F8" s="29" t="s">
        <v>45</v>
      </c>
      <c r="G8" s="11">
        <v>6</v>
      </c>
      <c r="H8" s="11" t="s">
        <v>114</v>
      </c>
      <c r="I8" s="11">
        <v>100</v>
      </c>
      <c r="J8" s="11" t="s">
        <v>116</v>
      </c>
      <c r="K8" s="11" t="s">
        <v>169</v>
      </c>
      <c r="L8" s="195">
        <v>12</v>
      </c>
      <c r="M8" s="29">
        <v>1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</row>
    <row r="9" spans="1:71">
      <c r="A9" s="4"/>
      <c r="B9" s="4"/>
      <c r="C9" s="4"/>
      <c r="D9" s="4"/>
      <c r="E9" s="56"/>
      <c r="F9" s="49" t="s">
        <v>93</v>
      </c>
      <c r="G9" s="42">
        <v>5</v>
      </c>
      <c r="H9" s="42" t="s">
        <v>97</v>
      </c>
      <c r="I9" s="42"/>
      <c r="J9" s="11" t="s">
        <v>116</v>
      </c>
      <c r="K9" s="11" t="s">
        <v>170</v>
      </c>
      <c r="L9" s="199">
        <v>10</v>
      </c>
      <c r="M9" s="49">
        <v>1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</row>
    <row r="10" spans="1:71">
      <c r="A10" s="4"/>
      <c r="B10" s="4"/>
      <c r="C10" s="4"/>
      <c r="D10" s="4"/>
      <c r="E10" s="56"/>
      <c r="F10" s="49" t="s">
        <v>107</v>
      </c>
      <c r="G10" s="42">
        <v>6</v>
      </c>
      <c r="H10" s="42" t="s">
        <v>114</v>
      </c>
      <c r="I10" s="42"/>
      <c r="J10" s="11" t="s">
        <v>116</v>
      </c>
      <c r="K10" s="11" t="s">
        <v>170</v>
      </c>
      <c r="L10" s="199">
        <v>12</v>
      </c>
      <c r="M10" s="49">
        <v>1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</row>
    <row r="11" spans="1:71" ht="15" thickBot="1">
      <c r="A11" s="4"/>
      <c r="B11" s="4"/>
      <c r="C11" s="4"/>
      <c r="D11" s="6"/>
      <c r="E11" s="4"/>
      <c r="F11" s="58" t="s">
        <v>108</v>
      </c>
      <c r="G11" s="59">
        <v>4</v>
      </c>
      <c r="H11" s="42" t="s">
        <v>114</v>
      </c>
      <c r="I11" s="59"/>
      <c r="J11" s="11" t="s">
        <v>116</v>
      </c>
      <c r="K11" s="11" t="s">
        <v>170</v>
      </c>
      <c r="L11" s="200">
        <v>12</v>
      </c>
      <c r="M11" s="58">
        <v>0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</row>
    <row r="12" spans="1:71">
      <c r="A12" s="4"/>
      <c r="B12" s="4"/>
      <c r="C12" s="4"/>
      <c r="D12" s="6"/>
      <c r="E12" s="56" t="s">
        <v>73</v>
      </c>
      <c r="F12" s="32" t="s">
        <v>70</v>
      </c>
      <c r="G12" s="30">
        <f>32/5</f>
        <v>6.4</v>
      </c>
      <c r="H12" s="42" t="s">
        <v>114</v>
      </c>
      <c r="I12" s="30">
        <v>13</v>
      </c>
      <c r="J12" s="11" t="s">
        <v>116</v>
      </c>
      <c r="K12" s="11" t="s">
        <v>170</v>
      </c>
      <c r="L12" s="201">
        <v>12</v>
      </c>
      <c r="M12" s="32">
        <v>5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</row>
    <row r="13" spans="1:71">
      <c r="A13" s="4"/>
      <c r="B13" s="4"/>
      <c r="C13" s="4"/>
      <c r="D13" s="6"/>
      <c r="E13" s="4"/>
      <c r="F13" s="29" t="str">
        <f>""</f>
        <v/>
      </c>
      <c r="G13" s="29"/>
      <c r="H13" s="29"/>
      <c r="I13" s="29"/>
      <c r="J13" s="11" t="s">
        <v>116</v>
      </c>
      <c r="K13" s="11" t="s">
        <v>170</v>
      </c>
      <c r="L13" s="202"/>
      <c r="M13" s="29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</row>
    <row r="14" spans="1:71" ht="15" thickBot="1">
      <c r="A14" s="4"/>
      <c r="B14" s="4"/>
      <c r="C14" s="4"/>
      <c r="D14" s="6"/>
      <c r="E14" s="4"/>
      <c r="F14" s="58" t="str">
        <f>""</f>
        <v/>
      </c>
      <c r="G14" s="58"/>
      <c r="H14" s="114"/>
      <c r="I14" s="58"/>
      <c r="J14" s="11" t="s">
        <v>116</v>
      </c>
      <c r="K14" s="11" t="s">
        <v>170</v>
      </c>
      <c r="L14" s="203"/>
      <c r="M14" s="58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</row>
    <row r="15" spans="1:71">
      <c r="A15" s="4"/>
      <c r="B15" s="4"/>
      <c r="C15" s="4"/>
      <c r="D15" s="6"/>
      <c r="E15" s="56" t="s">
        <v>71</v>
      </c>
      <c r="F15" s="32" t="s">
        <v>172</v>
      </c>
      <c r="G15" s="30">
        <v>100</v>
      </c>
      <c r="H15" s="30" t="s">
        <v>97</v>
      </c>
      <c r="I15" s="30"/>
      <c r="J15" s="11" t="s">
        <v>116</v>
      </c>
      <c r="K15" s="11" t="s">
        <v>170</v>
      </c>
      <c r="L15" s="201">
        <v>10</v>
      </c>
      <c r="M15" s="32">
        <v>1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</row>
    <row r="16" spans="1:71">
      <c r="A16" s="4"/>
      <c r="B16" s="4"/>
      <c r="C16" s="4"/>
      <c r="D16" s="6"/>
      <c r="E16" s="4"/>
      <c r="F16" s="29" t="s">
        <v>109</v>
      </c>
      <c r="G16" s="11">
        <v>0</v>
      </c>
      <c r="H16" s="11" t="s">
        <v>115</v>
      </c>
      <c r="I16" s="11">
        <v>100</v>
      </c>
      <c r="J16" s="11" t="s">
        <v>116</v>
      </c>
      <c r="K16" s="11" t="s">
        <v>170</v>
      </c>
      <c r="L16" s="195">
        <v>12</v>
      </c>
      <c r="M16" s="29">
        <f>IF('Budget Display'!N6="Yes",1,0)</f>
        <v>0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</row>
    <row r="17" spans="1:71">
      <c r="A17" s="4"/>
      <c r="B17" s="4"/>
      <c r="C17" s="4"/>
      <c r="D17" s="6"/>
      <c r="E17" s="4"/>
      <c r="F17" s="29" t="s">
        <v>88</v>
      </c>
      <c r="G17" s="62">
        <f>2/5</f>
        <v>0.4</v>
      </c>
      <c r="H17" s="11" t="s">
        <v>97</v>
      </c>
      <c r="I17" s="11">
        <v>100</v>
      </c>
      <c r="J17" s="11" t="s">
        <v>116</v>
      </c>
      <c r="K17" s="11" t="s">
        <v>169</v>
      </c>
      <c r="L17" s="44">
        <f>'Yearly Input Information'!C35/5</f>
        <v>1.3</v>
      </c>
      <c r="M17" s="29">
        <v>8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</row>
    <row r="18" spans="1:71">
      <c r="A18" s="4"/>
      <c r="B18" s="4"/>
      <c r="C18" s="4"/>
      <c r="D18" s="6"/>
      <c r="E18" s="4"/>
      <c r="F18" s="29" t="s">
        <v>89</v>
      </c>
      <c r="G18" s="11">
        <v>6</v>
      </c>
      <c r="H18" s="11" t="s">
        <v>97</v>
      </c>
      <c r="I18" s="11">
        <v>100</v>
      </c>
      <c r="J18" s="11" t="s">
        <v>116</v>
      </c>
      <c r="K18" s="11" t="s">
        <v>169</v>
      </c>
      <c r="L18" s="195">
        <v>12</v>
      </c>
      <c r="M18" s="29">
        <v>3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</row>
    <row r="19" spans="1:71">
      <c r="A19" s="4"/>
      <c r="B19" s="4"/>
      <c r="C19" s="4"/>
      <c r="D19" s="6"/>
      <c r="E19" s="4"/>
      <c r="F19" s="29" t="s">
        <v>171</v>
      </c>
      <c r="G19" s="11">
        <v>60</v>
      </c>
      <c r="H19" s="11" t="s">
        <v>97</v>
      </c>
      <c r="I19" s="11"/>
      <c r="J19" s="11" t="s">
        <v>116</v>
      </c>
      <c r="K19" s="11" t="s">
        <v>170</v>
      </c>
      <c r="L19" s="195">
        <v>12</v>
      </c>
      <c r="M19" s="29">
        <v>0.5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</row>
    <row r="20" spans="1:71">
      <c r="A20" s="4"/>
      <c r="B20" s="4"/>
      <c r="C20" s="4"/>
      <c r="D20" s="6"/>
      <c r="E20" s="4"/>
      <c r="F20" s="29" t="s">
        <v>173</v>
      </c>
      <c r="G20" s="11">
        <v>60</v>
      </c>
      <c r="H20" s="11" t="s">
        <v>97</v>
      </c>
      <c r="I20" s="11"/>
      <c r="J20" s="11" t="s">
        <v>116</v>
      </c>
      <c r="K20" s="11" t="s">
        <v>170</v>
      </c>
      <c r="L20" s="195">
        <v>12</v>
      </c>
      <c r="M20" s="29">
        <v>0.5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</row>
    <row r="21" spans="1:71">
      <c r="A21" s="4"/>
      <c r="B21" s="4"/>
      <c r="C21" s="4"/>
      <c r="D21" s="6"/>
      <c r="E21" s="4"/>
      <c r="F21" s="29" t="s">
        <v>87</v>
      </c>
      <c r="G21" s="11">
        <f>IF('Budget Display'!N7="Yes",2,0)</f>
        <v>0</v>
      </c>
      <c r="H21" s="11" t="s">
        <v>97</v>
      </c>
      <c r="I21" s="11">
        <v>100</v>
      </c>
      <c r="J21" s="11" t="s">
        <v>116</v>
      </c>
      <c r="K21" s="11" t="s">
        <v>170</v>
      </c>
      <c r="L21" s="195">
        <v>12</v>
      </c>
      <c r="M21" s="29">
        <v>0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</row>
    <row r="22" spans="1:7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</row>
    <row r="23" spans="1:7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</row>
    <row r="24" spans="1:7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</row>
    <row r="25" spans="1:7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</row>
    <row r="26" spans="1:7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</row>
    <row r="27" spans="1:7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</row>
    <row r="28" spans="1:7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</row>
    <row r="29" spans="1:7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</row>
    <row r="30" spans="1:7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</row>
    <row r="31" spans="1:7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</row>
    <row r="32" spans="1:7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</row>
    <row r="33" spans="1:7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</row>
    <row r="34" spans="1:7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</row>
    <row r="35" spans="1:7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</row>
    <row r="36" spans="1:7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</row>
    <row r="37" spans="1:7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</row>
    <row r="38" spans="1:7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</row>
    <row r="39" spans="1:7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</row>
    <row r="40" spans="1:7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</row>
    <row r="41" spans="1:7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</row>
    <row r="42" spans="1:7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</row>
    <row r="43" spans="1:7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</row>
    <row r="44" spans="1:7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</row>
    <row r="45" spans="1:7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</row>
    <row r="46" spans="1:7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</row>
    <row r="47" spans="1:7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</row>
    <row r="48" spans="1:7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</row>
    <row r="49" spans="1:7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</row>
    <row r="50" spans="1:7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</row>
    <row r="51" spans="1:7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</row>
    <row r="52" spans="1:7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</row>
    <row r="53" spans="1:7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</row>
    <row r="54" spans="1:7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</row>
    <row r="55" spans="1:7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</row>
    <row r="56" spans="1:7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</row>
    <row r="57" spans="1:7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</row>
    <row r="58" spans="1:7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</row>
    <row r="59" spans="1:7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</row>
    <row r="60" spans="1:7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</row>
    <row r="61" spans="1:7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</row>
    <row r="62" spans="1:7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</row>
    <row r="63" spans="1:7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</row>
    <row r="64" spans="1:7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</row>
    <row r="65" spans="1:7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</row>
    <row r="66" spans="1:7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</row>
    <row r="67" spans="1:7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</row>
    <row r="68" spans="1:7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</row>
    <row r="69" spans="1:7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</row>
    <row r="70" spans="1:7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</row>
    <row r="71" spans="1: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</row>
    <row r="72" spans="1:7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</row>
    <row r="73" spans="1:7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</row>
    <row r="74" spans="1:7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</row>
    <row r="75" spans="1:7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</row>
    <row r="76" spans="1:7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</row>
    <row r="77" spans="1:7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</row>
    <row r="78" spans="1:7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</row>
    <row r="79" spans="1:7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</row>
    <row r="80" spans="1:7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</row>
    <row r="81" spans="1:7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</row>
    <row r="82" spans="1:7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</row>
    <row r="83" spans="1:7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</row>
    <row r="84" spans="1:7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</row>
    <row r="85" spans="1:7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</row>
    <row r="86" spans="1:7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</row>
    <row r="87" spans="1:7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</row>
    <row r="88" spans="1:7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</row>
    <row r="89" spans="1:7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</row>
    <row r="90" spans="1:7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</row>
    <row r="91" spans="1:7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</row>
    <row r="92" spans="1:7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</row>
    <row r="93" spans="1:7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</row>
    <row r="94" spans="1:7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</row>
    <row r="95" spans="1:7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</row>
    <row r="96" spans="1:7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</row>
    <row r="97" spans="1:7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</row>
    <row r="98" spans="1:7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</row>
    <row r="99" spans="1:7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</row>
    <row r="100" spans="1:7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</row>
    <row r="101" spans="1:7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</row>
    <row r="102" spans="1:7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</row>
    <row r="103" spans="1:7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</row>
    <row r="104" spans="1:7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</row>
    <row r="105" spans="1:7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</row>
    <row r="106" spans="1:7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</row>
    <row r="107" spans="1:7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</row>
    <row r="108" spans="1:7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</row>
    <row r="109" spans="1:7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</row>
    <row r="110" spans="1:7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</row>
    <row r="111" spans="1:7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</row>
    <row r="112" spans="1:7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</row>
    <row r="113" spans="1:7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</row>
    <row r="114" spans="1:7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</row>
    <row r="115" spans="1:7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</row>
    <row r="116" spans="1:7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</row>
    <row r="117" spans="1:7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</row>
    <row r="118" spans="1:7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</row>
    <row r="119" spans="1:7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</row>
    <row r="120" spans="1:7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</row>
    <row r="121" spans="1:7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</row>
    <row r="122" spans="1:7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</row>
    <row r="123" spans="1:7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</row>
    <row r="124" spans="1:7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</row>
    <row r="125" spans="1:7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</row>
    <row r="126" spans="1:7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</row>
    <row r="127" spans="1:7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</row>
    <row r="128" spans="1:7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</row>
    <row r="129" spans="1:7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</row>
    <row r="130" spans="1:7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</row>
    <row r="131" spans="1:7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</row>
    <row r="132" spans="1:7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</row>
    <row r="133" spans="1:7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</row>
    <row r="134" spans="1:7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</row>
    <row r="135" spans="1:7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</row>
    <row r="136" spans="1:7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</row>
    <row r="137" spans="1:7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</row>
    <row r="138" spans="1:7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</row>
    <row r="139" spans="1:7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</row>
    <row r="140" spans="1:7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</row>
    <row r="141" spans="1:7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</row>
    <row r="142" spans="1:7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</row>
    <row r="143" spans="1:7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</row>
    <row r="144" spans="1:7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</row>
    <row r="145" spans="1:7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</row>
    <row r="146" spans="1:7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</row>
    <row r="147" spans="1:7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</row>
    <row r="148" spans="1:7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</row>
    <row r="149" spans="1:7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</row>
    <row r="150" spans="1:7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</row>
    <row r="151" spans="1:7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</row>
    <row r="152" spans="1:7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</row>
    <row r="153" spans="1:7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</row>
    <row r="154" spans="1:7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</row>
    <row r="155" spans="1:7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</row>
    <row r="156" spans="1:7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</row>
    <row r="157" spans="1:7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</row>
    <row r="158" spans="1:7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</row>
    <row r="159" spans="1:7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</row>
    <row r="160" spans="1:7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</row>
    <row r="161" spans="1:7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</row>
    <row r="162" spans="1:7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</row>
    <row r="163" spans="1:7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</row>
    <row r="164" spans="1:7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</row>
    <row r="165" spans="1:7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</row>
    <row r="166" spans="1:7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</row>
    <row r="167" spans="1:7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</row>
    <row r="168" spans="1:7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</row>
    <row r="169" spans="1:7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</row>
    <row r="170" spans="1:7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</row>
    <row r="171" spans="1: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</row>
    <row r="172" spans="1:7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</row>
    <row r="173" spans="1:7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</row>
    <row r="174" spans="1:7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</row>
    <row r="175" spans="1:7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</row>
    <row r="176" spans="1:7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</row>
    <row r="177" spans="1:7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</row>
    <row r="178" spans="1:7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</row>
    <row r="179" spans="1:7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</row>
    <row r="180" spans="1:7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</row>
    <row r="181" spans="1:7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</row>
    <row r="182" spans="1:7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</row>
    <row r="183" spans="1:7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</row>
    <row r="184" spans="1:7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</row>
    <row r="185" spans="1:7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</row>
    <row r="186" spans="1:7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</row>
    <row r="187" spans="1:7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</row>
    <row r="188" spans="1:7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</row>
    <row r="189" spans="1:7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</row>
    <row r="190" spans="1:7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</row>
    <row r="191" spans="1:7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</row>
    <row r="192" spans="1:7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</row>
    <row r="193" spans="1:7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</row>
    <row r="194" spans="1:7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</row>
    <row r="195" spans="1:7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</row>
    <row r="196" spans="1:7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</row>
    <row r="197" spans="1:7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</row>
    <row r="198" spans="1:7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</row>
    <row r="199" spans="1:7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</row>
    <row r="200" spans="1:7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</row>
    <row r="201" spans="1:7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</row>
    <row r="202" spans="1:7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</row>
    <row r="203" spans="1:7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</row>
    <row r="204" spans="1:7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</row>
    <row r="205" spans="1:7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</row>
    <row r="206" spans="1:7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</row>
    <row r="207" spans="1:7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</row>
    <row r="208" spans="1:7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</row>
    <row r="209" spans="1:7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</row>
    <row r="210" spans="1:7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</row>
    <row r="211" spans="1:7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</row>
    <row r="212" spans="1:7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</row>
    <row r="213" spans="1:7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</row>
    <row r="214" spans="1:7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</row>
    <row r="215" spans="1:7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</row>
    <row r="216" spans="1:7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</row>
    <row r="217" spans="1:7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</row>
    <row r="218" spans="1:7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</row>
    <row r="219" spans="1:7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</row>
    <row r="220" spans="1:7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</row>
    <row r="221" spans="1:7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</row>
    <row r="222" spans="1:7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</row>
    <row r="223" spans="1:7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</row>
    <row r="224" spans="1:7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</row>
    <row r="225" spans="1:7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</row>
    <row r="226" spans="1:7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</row>
    <row r="227" spans="1:7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</row>
    <row r="228" spans="1:7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</row>
    <row r="229" spans="1:7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</row>
    <row r="230" spans="1:7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</row>
    <row r="231" spans="1:7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</row>
    <row r="232" spans="1:7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</row>
    <row r="233" spans="1:7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</row>
    <row r="234" spans="1:7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</row>
    <row r="235" spans="1:7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</row>
    <row r="236" spans="1:7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</row>
    <row r="237" spans="1:7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</row>
    <row r="238" spans="1:7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</row>
    <row r="239" spans="1:7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</row>
    <row r="240" spans="1:7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</row>
    <row r="241" spans="1:7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</row>
    <row r="242" spans="1:7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</row>
    <row r="243" spans="1:7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</row>
    <row r="244" spans="1:7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</row>
    <row r="245" spans="1:7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</row>
    <row r="246" spans="1:7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</row>
    <row r="247" spans="1:7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</row>
    <row r="248" spans="1:7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</row>
    <row r="249" spans="1:7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</row>
    <row r="250" spans="1:7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</row>
    <row r="251" spans="1:7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</row>
    <row r="252" spans="1:7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</row>
    <row r="253" spans="1:7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</row>
    <row r="254" spans="1:7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</row>
    <row r="255" spans="1:7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</row>
    <row r="256" spans="1:7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</row>
    <row r="257" spans="1:7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</row>
    <row r="258" spans="1:7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</row>
    <row r="259" spans="1:7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</row>
    <row r="260" spans="1:7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</row>
    <row r="261" spans="1:7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</row>
    <row r="262" spans="1:7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</row>
    <row r="263" spans="1:7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</row>
    <row r="264" spans="1:7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</row>
    <row r="265" spans="1:7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</row>
    <row r="266" spans="1:7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</row>
    <row r="267" spans="1:7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</row>
    <row r="268" spans="1:7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</row>
    <row r="269" spans="1:7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</row>
    <row r="270" spans="1:7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</row>
    <row r="271" spans="1: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</row>
    <row r="272" spans="1:7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</row>
    <row r="273" spans="1:7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</row>
    <row r="274" spans="1:7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</row>
    <row r="275" spans="1:7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</row>
    <row r="276" spans="1:7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</row>
    <row r="277" spans="1:7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</row>
    <row r="278" spans="1:7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</row>
    <row r="279" spans="1:7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</row>
    <row r="280" spans="1:7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</row>
    <row r="281" spans="1:7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</row>
    <row r="282" spans="1:7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</row>
    <row r="283" spans="1:7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</row>
    <row r="284" spans="1:7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</row>
    <row r="285" spans="1:7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</row>
    <row r="286" spans="1:7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</row>
    <row r="287" spans="1:7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</row>
    <row r="288" spans="1:7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</row>
    <row r="289" spans="1:7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</row>
    <row r="290" spans="1:7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</row>
    <row r="291" spans="1:7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</row>
    <row r="292" spans="1:7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</row>
    <row r="293" spans="1:7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</row>
    <row r="294" spans="1:7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</row>
    <row r="295" spans="1:7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</row>
    <row r="296" spans="1:7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</row>
    <row r="297" spans="1:7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</row>
    <row r="298" spans="1:7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</row>
    <row r="299" spans="1:7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</row>
    <row r="300" spans="1:7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</row>
    <row r="301" spans="1:7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</row>
    <row r="302" spans="1:7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</row>
    <row r="303" spans="1:7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</row>
    <row r="304" spans="1:7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</row>
    <row r="305" spans="1:7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</row>
    <row r="306" spans="1:7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</row>
    <row r="307" spans="1:7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</row>
    <row r="308" spans="1:7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</row>
    <row r="309" spans="1:7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</row>
    <row r="310" spans="1:7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</row>
    <row r="311" spans="1:7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</row>
    <row r="312" spans="1:7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</row>
    <row r="313" spans="1:7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</row>
    <row r="314" spans="1:7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</row>
    <row r="315" spans="1:7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</row>
    <row r="316" spans="1:7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</row>
    <row r="317" spans="1:7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</row>
    <row r="318" spans="1:7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</row>
    <row r="319" spans="1:7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</row>
    <row r="320" spans="1:7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</row>
    <row r="321" spans="1:7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</row>
    <row r="322" spans="1:7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</row>
    <row r="323" spans="1:7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</row>
    <row r="324" spans="1:7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</row>
    <row r="325" spans="1:7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</row>
    <row r="326" spans="1:7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</row>
    <row r="327" spans="1:7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</row>
    <row r="328" spans="1:7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</row>
    <row r="329" spans="1:7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</row>
    <row r="330" spans="1:7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</row>
    <row r="331" spans="1:7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</row>
    <row r="332" spans="1:7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</row>
    <row r="333" spans="1:7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</row>
    <row r="334" spans="1:7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</row>
    <row r="347" spans="1:1">
      <c r="A347" t="s">
        <v>169</v>
      </c>
    </row>
    <row r="348" spans="1:1">
      <c r="A348" t="s">
        <v>170</v>
      </c>
    </row>
  </sheetData>
  <sheetProtection password="8892" sheet="1" objects="1" scenarios="1" selectLockedCells="1"/>
  <dataValidations count="1">
    <dataValidation type="list" allowBlank="1" showInputMessage="1" showErrorMessage="1" sqref="K8:K21">
      <formula1>$A$347:$A$348</formula1>
    </dataValidation>
  </dataValidation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3:C59"/>
  <sheetViews>
    <sheetView topLeftCell="A29" workbookViewId="0">
      <selection activeCell="E56" sqref="E56"/>
    </sheetView>
  </sheetViews>
  <sheetFormatPr baseColWidth="10" defaultColWidth="8.83203125" defaultRowHeight="14" x14ac:dyDescent="0"/>
  <cols>
    <col min="1" max="2" width="9.83203125" bestFit="1" customWidth="1"/>
  </cols>
  <sheetData>
    <row r="53" spans="1:3">
      <c r="A53" t="s">
        <v>229</v>
      </c>
      <c r="B53" s="86">
        <v>-4129.5971154625913</v>
      </c>
      <c r="C53" s="86">
        <v>-179.54770067228657</v>
      </c>
    </row>
    <row r="54" spans="1:3">
      <c r="A54" t="s">
        <v>230</v>
      </c>
      <c r="B54" s="86">
        <v>-1009.5272685990503</v>
      </c>
      <c r="C54" s="86">
        <v>-43.892489939089145</v>
      </c>
    </row>
    <row r="55" spans="1:3">
      <c r="A55" t="s">
        <v>231</v>
      </c>
      <c r="B55" s="86">
        <v>-393.68780486592419</v>
      </c>
      <c r="C55" s="86">
        <v>-17.116861081127137</v>
      </c>
    </row>
    <row r="56" spans="1:3">
      <c r="A56" t="s">
        <v>232</v>
      </c>
      <c r="B56" s="86">
        <v>345.31955161382609</v>
      </c>
      <c r="C56" s="86">
        <v>15.013893548427221</v>
      </c>
    </row>
    <row r="57" spans="1:3">
      <c r="A57" t="s">
        <v>233</v>
      </c>
      <c r="B57" s="86">
        <v>1135.6664693663108</v>
      </c>
      <c r="C57" s="86">
        <v>49.376803015926555</v>
      </c>
    </row>
    <row r="58" spans="1:3">
      <c r="A58" t="s">
        <v>234</v>
      </c>
      <c r="B58" s="86">
        <v>769.9183804716165</v>
      </c>
      <c r="C58" s="86">
        <v>33.47471219441811</v>
      </c>
    </row>
    <row r="59" spans="1:3">
      <c r="A59" t="s">
        <v>235</v>
      </c>
      <c r="B59" s="86">
        <v>1027.7846259187802</v>
      </c>
      <c r="C59" s="86">
        <v>44.686288083425225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4</vt:i4>
      </vt:variant>
    </vt:vector>
  </HeadingPairs>
  <TitlesOfParts>
    <vt:vector size="10" baseType="lpstr">
      <vt:lpstr>Budget Display</vt:lpstr>
      <vt:lpstr>Yearly Input Information</vt:lpstr>
      <vt:lpstr>Production Schedule</vt:lpstr>
      <vt:lpstr>Depreciation Schedule</vt:lpstr>
      <vt:lpstr>Chemical Mixing Rates</vt:lpstr>
      <vt:lpstr>NPV Sizes</vt:lpstr>
      <vt:lpstr>Profit-Loss</vt:lpstr>
      <vt:lpstr>NPV per Acre</vt:lpstr>
      <vt:lpstr>NPV per Tree</vt:lpstr>
      <vt:lpstr>SAEA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wdswinford</dc:creator>
  <cp:lastModifiedBy>Shane Porter</cp:lastModifiedBy>
  <cp:lastPrinted>2011-08-10T13:28:54Z</cp:lastPrinted>
  <dcterms:created xsi:type="dcterms:W3CDTF">2010-05-24T16:23:26Z</dcterms:created>
  <dcterms:modified xsi:type="dcterms:W3CDTF">2012-08-30T19:38:21Z</dcterms:modified>
</cp:coreProperties>
</file>